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i.potskhverashvili\Desktop\F\Pillar 3\3 q 2024\Ready for sent\"/>
    </mc:Choice>
  </mc:AlternateContent>
  <xr:revisionPtr revIDLastSave="0" documentId="13_ncr:1_{6B60E00F-8B86-48F4-B1BD-7A836BB8C174}" xr6:coauthVersionLast="47" xr6:coauthVersionMax="47" xr10:uidLastSave="{00000000-0000-0000-0000-000000000000}"/>
  <bookViews>
    <workbookView xWindow="-120" yWindow="-120" windowWidth="29040" windowHeight="15840" tabRatio="865" activeTab="1" xr2:uid="{D70F8C36-D9F8-424B-99D2-FD8AB25C451A}"/>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Capital'!$A$5:$C$53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3" l="1"/>
  <c r="C1" i="29" l="1"/>
  <c r="C2" i="29"/>
  <c r="E19" i="29"/>
  <c r="J19" i="29"/>
  <c r="O19" i="29"/>
  <c r="D8" i="29"/>
  <c r="G19" i="29"/>
  <c r="I8" i="29"/>
  <c r="L19" i="29"/>
  <c r="N8" i="29"/>
  <c r="Q19" i="29"/>
  <c r="D9" i="29"/>
  <c r="I9" i="29"/>
  <c r="K19" i="29"/>
  <c r="N9" i="29"/>
  <c r="P19" i="29"/>
  <c r="D10" i="29"/>
  <c r="I10" i="29"/>
  <c r="N10" i="29"/>
  <c r="D11" i="29"/>
  <c r="I11" i="29"/>
  <c r="N11" i="29"/>
  <c r="D12" i="29"/>
  <c r="I12" i="29"/>
  <c r="N12" i="29"/>
  <c r="D13" i="29"/>
  <c r="I13" i="29"/>
  <c r="N13" i="29"/>
  <c r="D14" i="29"/>
  <c r="I14" i="29"/>
  <c r="N14" i="29"/>
  <c r="D15" i="29"/>
  <c r="I15" i="29"/>
  <c r="N15" i="29"/>
  <c r="D16" i="29"/>
  <c r="I16" i="29"/>
  <c r="N16" i="29"/>
  <c r="D17" i="29"/>
  <c r="I17" i="29"/>
  <c r="N17" i="29"/>
  <c r="D18" i="29"/>
  <c r="I18" i="29"/>
  <c r="N18" i="29"/>
  <c r="I20" i="29"/>
  <c r="N20" i="29"/>
  <c r="B1" i="28"/>
  <c r="B2" i="28"/>
  <c r="B1" i="27"/>
  <c r="B2" i="27"/>
  <c r="G7" i="27"/>
  <c r="G33" i="27" s="1"/>
  <c r="I33" i="27"/>
  <c r="F33" i="27"/>
  <c r="C33" i="27"/>
  <c r="D33" i="27"/>
  <c r="E33" i="27"/>
  <c r="H33" i="27"/>
  <c r="J33" i="27"/>
  <c r="L33" i="27"/>
  <c r="B1" i="26"/>
  <c r="B2" i="26"/>
  <c r="G16" i="26"/>
  <c r="D16" i="26"/>
  <c r="E16" i="26"/>
  <c r="H16" i="26"/>
  <c r="I16" i="26"/>
  <c r="L16" i="26"/>
  <c r="M16" i="26"/>
  <c r="P16" i="26"/>
  <c r="Q16" i="26"/>
  <c r="C18" i="26"/>
  <c r="C19" i="26"/>
  <c r="F16" i="26"/>
  <c r="J16" i="26"/>
  <c r="K16" i="26"/>
  <c r="N16" i="26"/>
  <c r="O16" i="26"/>
  <c r="R16" i="26"/>
  <c r="S16" i="26"/>
  <c r="C20" i="26"/>
  <c r="B1" i="25"/>
  <c r="B2" i="25"/>
  <c r="Q3" i="25"/>
  <c r="R3" i="25"/>
  <c r="T8" i="25"/>
  <c r="U8" i="25"/>
  <c r="V8" i="25"/>
  <c r="W8" i="25"/>
  <c r="X8" i="25"/>
  <c r="Y8" i="25"/>
  <c r="Z8" i="25"/>
  <c r="AA8" i="25"/>
  <c r="C9" i="25"/>
  <c r="C10" i="25"/>
  <c r="C11" i="25"/>
  <c r="C12" i="25"/>
  <c r="K8" i="25"/>
  <c r="M8" i="25"/>
  <c r="N8" i="25"/>
  <c r="O8" i="25"/>
  <c r="Q8" i="25"/>
  <c r="R8" i="25"/>
  <c r="S8" i="25"/>
  <c r="E8" i="25"/>
  <c r="G8" i="25"/>
  <c r="I8" i="25"/>
  <c r="D15" i="25"/>
  <c r="B1" i="24"/>
  <c r="B2" i="24"/>
  <c r="B1" i="23"/>
  <c r="B2" i="23"/>
  <c r="D7" i="23"/>
  <c r="C7" i="23"/>
  <c r="C11" i="23"/>
  <c r="C13" i="24" s="1"/>
  <c r="C10" i="24" s="1"/>
  <c r="C18" i="24" s="1"/>
  <c r="C14" i="23"/>
  <c r="D15" i="23"/>
  <c r="B1" i="22"/>
  <c r="B2" i="22"/>
  <c r="H7" i="22"/>
  <c r="H8" i="22"/>
  <c r="H9" i="22"/>
  <c r="H10" i="22"/>
  <c r="H11" i="22"/>
  <c r="H12" i="22"/>
  <c r="H13" i="22"/>
  <c r="H14" i="22"/>
  <c r="H15" i="22"/>
  <c r="H16" i="22"/>
  <c r="H17" i="22"/>
  <c r="H18" i="22"/>
  <c r="H19" i="22"/>
  <c r="H20" i="22"/>
  <c r="H21" i="22"/>
  <c r="H22" i="22"/>
  <c r="H23" i="22"/>
  <c r="H24" i="22"/>
  <c r="H25" i="22"/>
  <c r="H26" i="22"/>
  <c r="H27" i="22"/>
  <c r="H28" i="22"/>
  <c r="H29" i="22"/>
  <c r="H30" i="22"/>
  <c r="H31" i="22"/>
  <c r="H32" i="22"/>
  <c r="F34" i="22"/>
  <c r="G34" i="22"/>
  <c r="B1" i="21"/>
  <c r="B2" i="21"/>
  <c r="H7" i="21"/>
  <c r="H8" i="21"/>
  <c r="H9" i="21"/>
  <c r="H10" i="21"/>
  <c r="H11" i="21"/>
  <c r="H12" i="21"/>
  <c r="D21" i="21"/>
  <c r="H15" i="21"/>
  <c r="H17" i="21"/>
  <c r="H18" i="21"/>
  <c r="H19" i="21"/>
  <c r="H20" i="21"/>
  <c r="D33" i="22"/>
  <c r="D34" i="22" s="1"/>
  <c r="E33" i="22"/>
  <c r="F21" i="21"/>
  <c r="G21" i="21"/>
  <c r="D22" i="21"/>
  <c r="F22" i="21"/>
  <c r="G22" i="21"/>
  <c r="H23" i="21"/>
  <c r="H14" i="21"/>
  <c r="B1" i="20"/>
  <c r="B2" i="20"/>
  <c r="H8" i="20"/>
  <c r="H9" i="20"/>
  <c r="H10" i="20"/>
  <c r="H11" i="20"/>
  <c r="H12" i="20"/>
  <c r="H13" i="20"/>
  <c r="H16" i="20"/>
  <c r="H17" i="20"/>
  <c r="H19" i="20"/>
  <c r="H20" i="20"/>
  <c r="F22" i="20"/>
  <c r="H15" i="20"/>
  <c r="H14" i="20"/>
  <c r="G22" i="20"/>
  <c r="B1" i="19"/>
  <c r="B2" i="19"/>
  <c r="D8" i="19"/>
  <c r="E8" i="19"/>
  <c r="F8" i="19"/>
  <c r="G10" i="19"/>
  <c r="D11" i="19"/>
  <c r="C11" i="19"/>
  <c r="F11" i="19"/>
  <c r="G12" i="19"/>
  <c r="E11" i="19"/>
  <c r="G13" i="19"/>
  <c r="J13" i="19"/>
  <c r="C14" i="19"/>
  <c r="E14" i="19"/>
  <c r="F14" i="19"/>
  <c r="G15" i="19"/>
  <c r="D14" i="19"/>
  <c r="E18" i="19"/>
  <c r="F18" i="19"/>
  <c r="D18" i="19"/>
  <c r="G19" i="19"/>
  <c r="C24" i="19"/>
  <c r="D24" i="19"/>
  <c r="E24" i="19"/>
  <c r="G26" i="19"/>
  <c r="F24" i="19"/>
  <c r="G31" i="19"/>
  <c r="E33" i="19"/>
  <c r="G36" i="19"/>
  <c r="B1" i="18"/>
  <c r="B2" i="18"/>
  <c r="C26" i="18"/>
  <c r="B1" i="17"/>
  <c r="B2" i="17"/>
  <c r="F7" i="17"/>
  <c r="G7" i="17"/>
  <c r="H7" i="17"/>
  <c r="I7" i="17"/>
  <c r="J7" i="17"/>
  <c r="L7" i="17"/>
  <c r="M7" i="17"/>
  <c r="E9" i="17"/>
  <c r="N9" i="17"/>
  <c r="E10" i="17"/>
  <c r="N10" i="17"/>
  <c r="E11" i="17"/>
  <c r="N11" i="17"/>
  <c r="E12" i="17"/>
  <c r="N12" i="17"/>
  <c r="N13" i="17"/>
  <c r="C14" i="17"/>
  <c r="F14" i="17"/>
  <c r="G14" i="17"/>
  <c r="H14" i="17"/>
  <c r="I14" i="17"/>
  <c r="I21" i="17" s="1"/>
  <c r="J14" i="17"/>
  <c r="K14" i="17"/>
  <c r="L14" i="17"/>
  <c r="M14" i="17"/>
  <c r="M21" i="17" s="1"/>
  <c r="E15" i="17"/>
  <c r="N15" i="17"/>
  <c r="E16" i="17"/>
  <c r="N16" i="17"/>
  <c r="E17" i="17"/>
  <c r="N17" i="17"/>
  <c r="E18" i="17"/>
  <c r="N18" i="17"/>
  <c r="E19" i="17"/>
  <c r="N19" i="17"/>
  <c r="N20" i="17"/>
  <c r="G21" i="17"/>
  <c r="H21" i="17"/>
  <c r="L21" i="17"/>
  <c r="B1" i="16"/>
  <c r="B2" i="16"/>
  <c r="H8" i="16"/>
  <c r="K8" i="16"/>
  <c r="E10" i="16"/>
  <c r="H10" i="16"/>
  <c r="K10" i="16"/>
  <c r="E11" i="16"/>
  <c r="H11" i="16"/>
  <c r="K11" i="16"/>
  <c r="K16" i="16" s="1"/>
  <c r="K24" i="16" s="1"/>
  <c r="K25" i="16" s="1"/>
  <c r="E12" i="16"/>
  <c r="H12" i="16"/>
  <c r="K12" i="16"/>
  <c r="E13" i="16"/>
  <c r="H13" i="16"/>
  <c r="K13" i="16"/>
  <c r="E14" i="16"/>
  <c r="F14" i="16"/>
  <c r="K14" i="16"/>
  <c r="E15" i="16"/>
  <c r="H15" i="16"/>
  <c r="K15" i="16"/>
  <c r="C16" i="16"/>
  <c r="D16" i="16"/>
  <c r="E16" i="16"/>
  <c r="G16" i="16"/>
  <c r="I16" i="16"/>
  <c r="J16" i="16"/>
  <c r="E18" i="16"/>
  <c r="H18" i="16"/>
  <c r="K18" i="16"/>
  <c r="E19" i="16"/>
  <c r="H19" i="16"/>
  <c r="K19" i="16"/>
  <c r="E20" i="16"/>
  <c r="H20" i="16"/>
  <c r="K20" i="16"/>
  <c r="C21" i="16"/>
  <c r="D21" i="16"/>
  <c r="E21" i="16"/>
  <c r="F21" i="16"/>
  <c r="H21" i="16" s="1"/>
  <c r="G21" i="16"/>
  <c r="I21" i="16"/>
  <c r="J21" i="16"/>
  <c r="K21" i="16"/>
  <c r="F23" i="16"/>
  <c r="G23" i="16"/>
  <c r="H23" i="16"/>
  <c r="I23" i="16"/>
  <c r="J23" i="16"/>
  <c r="K23" i="16"/>
  <c r="F25" i="16"/>
  <c r="G25" i="16"/>
  <c r="I25" i="16"/>
  <c r="J25" i="16"/>
  <c r="B1" i="15"/>
  <c r="B2" i="15"/>
  <c r="H9" i="15"/>
  <c r="H10" i="15"/>
  <c r="H11" i="15"/>
  <c r="H12" i="15"/>
  <c r="H13" i="15"/>
  <c r="D22" i="15"/>
  <c r="H15" i="15"/>
  <c r="H16" i="15"/>
  <c r="H17" i="15"/>
  <c r="H18" i="15"/>
  <c r="H19" i="15"/>
  <c r="H20" i="15"/>
  <c r="H21" i="15"/>
  <c r="B1" i="14"/>
  <c r="B2" i="14"/>
  <c r="V7" i="14"/>
  <c r="V8" i="14"/>
  <c r="V9" i="14"/>
  <c r="V10" i="14"/>
  <c r="V11" i="14"/>
  <c r="V12" i="14"/>
  <c r="V13" i="14"/>
  <c r="V14" i="14"/>
  <c r="V15" i="14"/>
  <c r="V16" i="14"/>
  <c r="V17" i="14"/>
  <c r="V18" i="14"/>
  <c r="V19" i="14"/>
  <c r="V20" i="14"/>
  <c r="C21" i="14"/>
  <c r="D21" i="14"/>
  <c r="E21" i="14"/>
  <c r="F21" i="14"/>
  <c r="G21" i="14"/>
  <c r="H21" i="14"/>
  <c r="I21" i="14"/>
  <c r="J21" i="14"/>
  <c r="K21" i="14"/>
  <c r="L21" i="14"/>
  <c r="M21" i="14"/>
  <c r="N21" i="14"/>
  <c r="O21" i="14"/>
  <c r="P21" i="14"/>
  <c r="Q21" i="14"/>
  <c r="R21" i="14"/>
  <c r="S21" i="14"/>
  <c r="T21" i="14"/>
  <c r="U21" i="14"/>
  <c r="B1" i="13"/>
  <c r="B2" i="13"/>
  <c r="S8" i="13"/>
  <c r="C22" i="13"/>
  <c r="S11" i="13"/>
  <c r="N22" i="13"/>
  <c r="S15" i="13"/>
  <c r="S17" i="13"/>
  <c r="S21" i="13"/>
  <c r="D22" i="13"/>
  <c r="F22" i="13"/>
  <c r="H22" i="13"/>
  <c r="J22" i="13"/>
  <c r="L22" i="13"/>
  <c r="P22" i="13"/>
  <c r="R22" i="13"/>
  <c r="B1" i="12"/>
  <c r="B2" i="12"/>
  <c r="B1" i="11"/>
  <c r="B2" i="11"/>
  <c r="C10" i="11"/>
  <c r="C19" i="11"/>
  <c r="B1" i="10"/>
  <c r="B2" i="10"/>
  <c r="C6" i="10"/>
  <c r="C13" i="10"/>
  <c r="C32" i="10"/>
  <c r="C31" i="10" s="1"/>
  <c r="C42" i="10" s="1"/>
  <c r="C36" i="10"/>
  <c r="C44" i="10"/>
  <c r="C48" i="10"/>
  <c r="B1" i="9"/>
  <c r="B2" i="9"/>
  <c r="B1" i="8"/>
  <c r="B2" i="8"/>
  <c r="D8" i="8"/>
  <c r="D16" i="8"/>
  <c r="D20" i="8"/>
  <c r="D25" i="8"/>
  <c r="D31" i="8"/>
  <c r="B1" i="7"/>
  <c r="B2" i="7"/>
  <c r="B1" i="6"/>
  <c r="B2" i="6"/>
  <c r="D5" i="6" s="1"/>
  <c r="C6" i="6"/>
  <c r="B1" i="5"/>
  <c r="B2" i="5"/>
  <c r="E6" i="5"/>
  <c r="H6" i="5"/>
  <c r="E7" i="5"/>
  <c r="H7" i="5"/>
  <c r="C8" i="5"/>
  <c r="D8" i="5"/>
  <c r="F8" i="5"/>
  <c r="G8" i="5"/>
  <c r="H8" i="5"/>
  <c r="E9" i="5"/>
  <c r="H9" i="5"/>
  <c r="E10" i="5"/>
  <c r="H10" i="5"/>
  <c r="C11" i="5"/>
  <c r="D11" i="5"/>
  <c r="F11" i="5"/>
  <c r="G11" i="5"/>
  <c r="H11" i="5"/>
  <c r="E12" i="5"/>
  <c r="H12" i="5"/>
  <c r="E13" i="5"/>
  <c r="H13" i="5"/>
  <c r="G14" i="5"/>
  <c r="E15" i="5"/>
  <c r="H15" i="5"/>
  <c r="E16" i="5"/>
  <c r="H16" i="5"/>
  <c r="F17" i="5"/>
  <c r="G17" i="5"/>
  <c r="C17" i="5"/>
  <c r="H18" i="5"/>
  <c r="E19" i="5"/>
  <c r="H19" i="5"/>
  <c r="H20" i="5"/>
  <c r="H21" i="5"/>
  <c r="E22" i="5"/>
  <c r="H22" i="5"/>
  <c r="E23" i="5"/>
  <c r="H23" i="5"/>
  <c r="H24" i="5"/>
  <c r="H25" i="5"/>
  <c r="E26" i="5"/>
  <c r="H26" i="5"/>
  <c r="E27" i="5"/>
  <c r="H27" i="5"/>
  <c r="H28" i="5"/>
  <c r="E29" i="5"/>
  <c r="H29" i="5"/>
  <c r="F30" i="5"/>
  <c r="H30" i="5" s="1"/>
  <c r="G30" i="5"/>
  <c r="E31" i="5"/>
  <c r="H31" i="5"/>
  <c r="C30" i="5"/>
  <c r="E30" i="5" s="1"/>
  <c r="D30" i="5"/>
  <c r="H32" i="5"/>
  <c r="E33" i="5"/>
  <c r="H33" i="5"/>
  <c r="E34" i="5"/>
  <c r="H34" i="5"/>
  <c r="E35" i="5"/>
  <c r="H35" i="5"/>
  <c r="E36" i="5"/>
  <c r="H36" i="5"/>
  <c r="E37" i="5"/>
  <c r="H37" i="5"/>
  <c r="C38" i="5"/>
  <c r="E38" i="5" s="1"/>
  <c r="D38" i="5"/>
  <c r="F38" i="5"/>
  <c r="G38" i="5"/>
  <c r="H38" i="5"/>
  <c r="E39" i="5"/>
  <c r="H39" i="5"/>
  <c r="E40" i="5"/>
  <c r="H40" i="5"/>
  <c r="E41" i="5"/>
  <c r="H41" i="5"/>
  <c r="E42" i="5"/>
  <c r="H42" i="5"/>
  <c r="E43" i="5"/>
  <c r="H43" i="5"/>
  <c r="B1" i="4"/>
  <c r="B2" i="4"/>
  <c r="D6" i="4"/>
  <c r="H6" i="4"/>
  <c r="E7" i="4"/>
  <c r="H7" i="4"/>
  <c r="E8" i="4"/>
  <c r="H8" i="4"/>
  <c r="E9" i="4"/>
  <c r="H9" i="4"/>
  <c r="E10" i="4"/>
  <c r="H10" i="4"/>
  <c r="H11" i="4"/>
  <c r="E12" i="4"/>
  <c r="H12" i="4"/>
  <c r="C13" i="4"/>
  <c r="H13" i="4"/>
  <c r="E14" i="4"/>
  <c r="H14" i="4"/>
  <c r="E15" i="4"/>
  <c r="H15" i="4"/>
  <c r="D13" i="4"/>
  <c r="H16" i="4"/>
  <c r="E17" i="4"/>
  <c r="H17" i="4"/>
  <c r="E18" i="4"/>
  <c r="H18" i="4"/>
  <c r="E19" i="4"/>
  <c r="H19" i="4"/>
  <c r="E20" i="4"/>
  <c r="H20" i="4"/>
  <c r="E21" i="4"/>
  <c r="H21" i="4"/>
  <c r="E22" i="4"/>
  <c r="H22" i="4"/>
  <c r="E23" i="4"/>
  <c r="H23" i="4"/>
  <c r="E24" i="4"/>
  <c r="H24" i="4"/>
  <c r="D43" i="4"/>
  <c r="D45" i="4" s="1"/>
  <c r="H25" i="4"/>
  <c r="E26" i="4"/>
  <c r="H26" i="4"/>
  <c r="E27" i="4"/>
  <c r="H27" i="4"/>
  <c r="E28" i="4"/>
  <c r="H28" i="4"/>
  <c r="H29" i="4"/>
  <c r="D29" i="4"/>
  <c r="H30" i="4"/>
  <c r="E31" i="4"/>
  <c r="H31" i="4"/>
  <c r="E32" i="4"/>
  <c r="H32" i="4"/>
  <c r="E33" i="4"/>
  <c r="H33" i="4"/>
  <c r="H34" i="4"/>
  <c r="C34" i="4"/>
  <c r="D34" i="4"/>
  <c r="H35" i="4"/>
  <c r="E36" i="4"/>
  <c r="H36" i="4"/>
  <c r="D37" i="4"/>
  <c r="H37" i="4"/>
  <c r="E38" i="4"/>
  <c r="H38" i="4"/>
  <c r="H39" i="4"/>
  <c r="E40" i="4"/>
  <c r="H40" i="4"/>
  <c r="E41" i="4"/>
  <c r="H41" i="4"/>
  <c r="E42" i="4"/>
  <c r="H42" i="4"/>
  <c r="H43" i="4"/>
  <c r="E44" i="4"/>
  <c r="H44" i="4"/>
  <c r="H45" i="4"/>
  <c r="B1" i="3"/>
  <c r="B2" i="3"/>
  <c r="H7" i="3"/>
  <c r="H8" i="3"/>
  <c r="H9" i="3"/>
  <c r="E10" i="3"/>
  <c r="C11" i="8" s="1"/>
  <c r="E11" i="8" s="1"/>
  <c r="C9" i="12" s="1"/>
  <c r="H10" i="3"/>
  <c r="D11" i="3"/>
  <c r="H11" i="3"/>
  <c r="H12" i="3"/>
  <c r="E13" i="3"/>
  <c r="C14" i="8" s="1"/>
  <c r="E14" i="8" s="1"/>
  <c r="C12" i="12" s="1"/>
  <c r="H13" i="3"/>
  <c r="E14" i="3"/>
  <c r="C15" i="8" s="1"/>
  <c r="E15" i="8" s="1"/>
  <c r="C13" i="12" s="1"/>
  <c r="H14" i="3"/>
  <c r="D15" i="3"/>
  <c r="H15" i="3"/>
  <c r="C15" i="3"/>
  <c r="E16" i="3"/>
  <c r="C17" i="8" s="1"/>
  <c r="H16" i="3"/>
  <c r="E17" i="3"/>
  <c r="C18" i="8" s="1"/>
  <c r="E18" i="8" s="1"/>
  <c r="C16" i="12" s="1"/>
  <c r="H17" i="3"/>
  <c r="E18" i="3"/>
  <c r="C19" i="8" s="1"/>
  <c r="E19" i="8" s="1"/>
  <c r="C17" i="12" s="1"/>
  <c r="H18" i="3"/>
  <c r="H19" i="3"/>
  <c r="E21" i="20"/>
  <c r="H20" i="3"/>
  <c r="E21" i="3"/>
  <c r="H21" i="3"/>
  <c r="E22" i="3"/>
  <c r="C23" i="8" s="1"/>
  <c r="E23" i="8" s="1"/>
  <c r="H22" i="3"/>
  <c r="E23" i="3"/>
  <c r="H23" i="3"/>
  <c r="C24" i="3"/>
  <c r="D24" i="3"/>
  <c r="H24" i="3"/>
  <c r="H25" i="3"/>
  <c r="E26" i="3"/>
  <c r="C27" i="8" s="1"/>
  <c r="E27" i="8" s="1"/>
  <c r="C25" i="12" s="1"/>
  <c r="H26" i="3"/>
  <c r="C27" i="3"/>
  <c r="E27" i="3" s="1"/>
  <c r="D27" i="3"/>
  <c r="H27" i="3"/>
  <c r="E28" i="3"/>
  <c r="C29" i="8" s="1"/>
  <c r="C27" i="12" s="1"/>
  <c r="H28" i="3"/>
  <c r="H29" i="3"/>
  <c r="D30" i="3"/>
  <c r="H30" i="3"/>
  <c r="H31" i="3"/>
  <c r="E32" i="3"/>
  <c r="C33" i="8" s="1"/>
  <c r="H32" i="3"/>
  <c r="E33" i="3"/>
  <c r="C34" i="8" s="1"/>
  <c r="C32" i="12" s="1"/>
  <c r="H33" i="3"/>
  <c r="E34" i="3"/>
  <c r="C35" i="8" s="1"/>
  <c r="H34" i="3"/>
  <c r="E35" i="3"/>
  <c r="C36" i="8" s="1"/>
  <c r="H35" i="3"/>
  <c r="H36" i="3"/>
  <c r="C38" i="3"/>
  <c r="H38" i="3"/>
  <c r="D38" i="3"/>
  <c r="E39" i="3"/>
  <c r="C38" i="12" s="1"/>
  <c r="H39" i="3"/>
  <c r="E40" i="3"/>
  <c r="C39" i="12" s="1"/>
  <c r="H40" i="3"/>
  <c r="C41" i="3"/>
  <c r="H41" i="3"/>
  <c r="E42" i="3"/>
  <c r="C41" i="12" s="1"/>
  <c r="H42" i="3"/>
  <c r="E43" i="3"/>
  <c r="C42" i="12" s="1"/>
  <c r="H43" i="3"/>
  <c r="E44" i="3"/>
  <c r="C43" i="12" s="1"/>
  <c r="H44" i="3"/>
  <c r="E45" i="3"/>
  <c r="H45" i="3"/>
  <c r="E46" i="3"/>
  <c r="C45" i="12" s="1"/>
  <c r="H46" i="3"/>
  <c r="H47" i="3"/>
  <c r="C47" i="3"/>
  <c r="E48" i="3"/>
  <c r="C47" i="12" s="1"/>
  <c r="H48" i="3"/>
  <c r="E49" i="3"/>
  <c r="H49" i="3"/>
  <c r="E50" i="3"/>
  <c r="H50" i="3"/>
  <c r="E51" i="3"/>
  <c r="H51" i="3"/>
  <c r="E52" i="3"/>
  <c r="C52" i="12" s="1"/>
  <c r="H52" i="3"/>
  <c r="H53" i="3"/>
  <c r="E55" i="3"/>
  <c r="C55" i="12" s="1"/>
  <c r="H55" i="3"/>
  <c r="E56" i="3"/>
  <c r="C56" i="12" s="1"/>
  <c r="H56" i="3"/>
  <c r="E57" i="3"/>
  <c r="C57" i="12" s="1"/>
  <c r="H57" i="3"/>
  <c r="E58" i="3"/>
  <c r="C58" i="12" s="1"/>
  <c r="H58" i="3"/>
  <c r="C59" i="3"/>
  <c r="D59" i="3"/>
  <c r="E59" i="3" s="1"/>
  <c r="H59" i="3"/>
  <c r="E60" i="3"/>
  <c r="C60" i="12" s="1"/>
  <c r="H60" i="3"/>
  <c r="E61" i="3"/>
  <c r="C61" i="12" s="1"/>
  <c r="H61" i="3"/>
  <c r="E62" i="3"/>
  <c r="C62" i="12" s="1"/>
  <c r="H62" i="3"/>
  <c r="D63" i="3"/>
  <c r="H63" i="3"/>
  <c r="C63" i="3"/>
  <c r="E64" i="3"/>
  <c r="C64" i="12" s="1"/>
  <c r="H64" i="3"/>
  <c r="E65" i="3"/>
  <c r="C65" i="12" s="1"/>
  <c r="H65" i="3"/>
  <c r="E66" i="3"/>
  <c r="C66" i="12" s="1"/>
  <c r="H66" i="3"/>
  <c r="E67" i="3"/>
  <c r="C67" i="12" s="1"/>
  <c r="H67" i="3"/>
  <c r="H68" i="3"/>
  <c r="H69" i="3"/>
  <c r="B1" i="2"/>
  <c r="C5" i="2"/>
  <c r="D5" i="2"/>
  <c r="E5" i="2"/>
  <c r="F5" i="2"/>
  <c r="G5" i="2"/>
  <c r="S8" i="2"/>
  <c r="T8" i="2"/>
  <c r="U8" i="2"/>
  <c r="V8" i="2"/>
  <c r="S9" i="2"/>
  <c r="T9" i="2"/>
  <c r="U9" i="2"/>
  <c r="V9" i="2"/>
  <c r="S10" i="2"/>
  <c r="T10" i="2"/>
  <c r="U10" i="2"/>
  <c r="V10" i="2"/>
  <c r="S11" i="2"/>
  <c r="T11" i="2"/>
  <c r="U11" i="2"/>
  <c r="V11" i="2"/>
  <c r="S12" i="2"/>
  <c r="T12" i="2"/>
  <c r="U12" i="2"/>
  <c r="V12" i="2"/>
  <c r="S13" i="2"/>
  <c r="T13" i="2"/>
  <c r="U13" i="2"/>
  <c r="V13" i="2"/>
  <c r="S14" i="2"/>
  <c r="T14" i="2"/>
  <c r="U14" i="2"/>
  <c r="V14" i="2"/>
  <c r="S15" i="2"/>
  <c r="T15" i="2"/>
  <c r="U15" i="2"/>
  <c r="V15" i="2"/>
  <c r="S16" i="2"/>
  <c r="T16" i="2"/>
  <c r="U16" i="2"/>
  <c r="V16" i="2"/>
  <c r="S17" i="2"/>
  <c r="T17" i="2"/>
  <c r="U17" i="2"/>
  <c r="V17" i="2"/>
  <c r="S18" i="2"/>
  <c r="T18" i="2"/>
  <c r="U18" i="2"/>
  <c r="V18" i="2"/>
  <c r="S19" i="2"/>
  <c r="T19" i="2"/>
  <c r="U19" i="2"/>
  <c r="V19" i="2"/>
  <c r="S20" i="2"/>
  <c r="T20" i="2"/>
  <c r="U20" i="2"/>
  <c r="V20" i="2"/>
  <c r="S21" i="2"/>
  <c r="T21" i="2"/>
  <c r="U21" i="2"/>
  <c r="V21" i="2"/>
  <c r="S22" i="2"/>
  <c r="T22" i="2"/>
  <c r="U22" i="2"/>
  <c r="V22" i="2"/>
  <c r="S23" i="2"/>
  <c r="T23" i="2"/>
  <c r="U23" i="2"/>
  <c r="V23" i="2"/>
  <c r="S24" i="2"/>
  <c r="T24" i="2"/>
  <c r="U24" i="2"/>
  <c r="V24" i="2"/>
  <c r="S25" i="2"/>
  <c r="T25" i="2"/>
  <c r="U25" i="2"/>
  <c r="V25" i="2"/>
  <c r="S26" i="2"/>
  <c r="T26" i="2"/>
  <c r="U26" i="2"/>
  <c r="V26" i="2"/>
  <c r="S27" i="2"/>
  <c r="T27" i="2"/>
  <c r="U27" i="2"/>
  <c r="V27" i="2"/>
  <c r="S28" i="2"/>
  <c r="T28" i="2"/>
  <c r="U28" i="2"/>
  <c r="V28" i="2"/>
  <c r="S29" i="2"/>
  <c r="T29" i="2"/>
  <c r="U29" i="2"/>
  <c r="V29" i="2"/>
  <c r="S30" i="2"/>
  <c r="T30" i="2"/>
  <c r="U30" i="2"/>
  <c r="V30" i="2"/>
  <c r="S31" i="2"/>
  <c r="T31" i="2"/>
  <c r="U31" i="2"/>
  <c r="V31" i="2"/>
  <c r="C32" i="2"/>
  <c r="S32" i="2"/>
  <c r="T32" i="2"/>
  <c r="U32" i="2"/>
  <c r="V32" i="2"/>
  <c r="S33" i="2"/>
  <c r="T33" i="2"/>
  <c r="U33" i="2"/>
  <c r="V33" i="2"/>
  <c r="S34" i="2"/>
  <c r="T34" i="2"/>
  <c r="U34" i="2"/>
  <c r="V34" i="2"/>
  <c r="S35" i="2"/>
  <c r="T35" i="2"/>
  <c r="U35" i="2"/>
  <c r="V35" i="2"/>
  <c r="S36" i="2"/>
  <c r="T36" i="2"/>
  <c r="U36" i="2"/>
  <c r="V36" i="2"/>
  <c r="S37" i="2"/>
  <c r="T37" i="2"/>
  <c r="U37" i="2"/>
  <c r="V37" i="2"/>
  <c r="S38" i="2"/>
  <c r="T38" i="2"/>
  <c r="U38" i="2"/>
  <c r="V38" i="2"/>
  <c r="S39" i="2"/>
  <c r="T39" i="2"/>
  <c r="U39" i="2"/>
  <c r="V39" i="2"/>
  <c r="S40" i="2"/>
  <c r="T40" i="2"/>
  <c r="U40" i="2"/>
  <c r="V40" i="2"/>
  <c r="S41" i="2"/>
  <c r="T41" i="2"/>
  <c r="U41" i="2"/>
  <c r="V41" i="2"/>
  <c r="C42" i="2"/>
  <c r="S42" i="2"/>
  <c r="T42" i="2"/>
  <c r="U42" i="2"/>
  <c r="V42" i="2"/>
  <c r="S43" i="2"/>
  <c r="T43" i="2"/>
  <c r="U43" i="2"/>
  <c r="V43" i="2"/>
  <c r="S44" i="2"/>
  <c r="T44" i="2"/>
  <c r="U44" i="2"/>
  <c r="V44" i="2"/>
  <c r="S45" i="2"/>
  <c r="T45" i="2"/>
  <c r="U45" i="2"/>
  <c r="V45" i="2"/>
  <c r="S46" i="2"/>
  <c r="T46" i="2"/>
  <c r="U46" i="2"/>
  <c r="V46" i="2"/>
  <c r="S47" i="2"/>
  <c r="T47" i="2"/>
  <c r="U47" i="2"/>
  <c r="V47" i="2"/>
  <c r="S48" i="2"/>
  <c r="T48" i="2"/>
  <c r="U48" i="2"/>
  <c r="V48" i="2"/>
  <c r="C5" i="6" l="1"/>
  <c r="E11" i="5"/>
  <c r="E14" i="17"/>
  <c r="C53" i="10"/>
  <c r="G5" i="6"/>
  <c r="F5" i="6"/>
  <c r="E5" i="6"/>
  <c r="C63" i="12"/>
  <c r="E38" i="3"/>
  <c r="C37" i="12" s="1"/>
  <c r="E24" i="3"/>
  <c r="C49" i="12"/>
  <c r="C16" i="8"/>
  <c r="E17" i="8"/>
  <c r="C51" i="12"/>
  <c r="C48" i="12"/>
  <c r="C46" i="12" s="1"/>
  <c r="C31" i="12"/>
  <c r="E33" i="8"/>
  <c r="C22" i="8"/>
  <c r="E25" i="4"/>
  <c r="C28" i="25"/>
  <c r="C34" i="12"/>
  <c r="E36" i="8"/>
  <c r="E29" i="8"/>
  <c r="C24" i="8"/>
  <c r="E24" i="8" s="1"/>
  <c r="H14" i="16"/>
  <c r="F16" i="16"/>
  <c r="H16" i="16" s="1"/>
  <c r="H24" i="16" s="1"/>
  <c r="C43" i="2" s="1"/>
  <c r="C44" i="2" s="1"/>
  <c r="G20" i="19"/>
  <c r="G18" i="19" s="1"/>
  <c r="C18" i="19"/>
  <c r="C44" i="12"/>
  <c r="C40" i="12" s="1"/>
  <c r="D41" i="3"/>
  <c r="E41" i="3" s="1"/>
  <c r="E25" i="3"/>
  <c r="C19" i="3"/>
  <c r="C11" i="3"/>
  <c r="E12" i="3"/>
  <c r="C7" i="3"/>
  <c r="E8" i="3"/>
  <c r="C37" i="4"/>
  <c r="E37" i="4" s="1"/>
  <c r="E39" i="4"/>
  <c r="E34" i="4"/>
  <c r="C29" i="4"/>
  <c r="E29" i="4" s="1"/>
  <c r="E13" i="4"/>
  <c r="E28" i="5"/>
  <c r="D27" i="25" s="1"/>
  <c r="E24" i="5"/>
  <c r="E20" i="5"/>
  <c r="F14" i="5"/>
  <c r="H14" i="5" s="1"/>
  <c r="H17" i="5"/>
  <c r="E34" i="8"/>
  <c r="S12" i="13"/>
  <c r="C22" i="15"/>
  <c r="E22" i="15"/>
  <c r="H14" i="15"/>
  <c r="G24" i="19"/>
  <c r="D68" i="3"/>
  <c r="C68" i="3"/>
  <c r="E63" i="3"/>
  <c r="C59" i="12"/>
  <c r="C68" i="12" s="1"/>
  <c r="C53" i="3"/>
  <c r="D47" i="3"/>
  <c r="E47" i="3" s="1"/>
  <c r="E29" i="3"/>
  <c r="E15" i="3"/>
  <c r="E25" i="5"/>
  <c r="E21" i="5"/>
  <c r="D17" i="5"/>
  <c r="D14" i="5" s="1"/>
  <c r="E8" i="5"/>
  <c r="C20" i="11"/>
  <c r="S18" i="13"/>
  <c r="O22" i="13"/>
  <c r="G22" i="13"/>
  <c r="N14" i="17"/>
  <c r="C33" i="12"/>
  <c r="E35" i="8"/>
  <c r="E31" i="3"/>
  <c r="C30" i="3"/>
  <c r="E30" i="3" s="1"/>
  <c r="E9" i="3"/>
  <c r="D7" i="3"/>
  <c r="C6" i="4"/>
  <c r="E11" i="4"/>
  <c r="C14" i="5"/>
  <c r="E17" i="5"/>
  <c r="C13" i="6"/>
  <c r="D7" i="11" s="1"/>
  <c r="S19" i="13"/>
  <c r="H8" i="15"/>
  <c r="G22" i="15"/>
  <c r="E20" i="3"/>
  <c r="E35" i="4"/>
  <c r="E30" i="4"/>
  <c r="E16" i="4"/>
  <c r="E32" i="5"/>
  <c r="D9" i="11"/>
  <c r="S20" i="13"/>
  <c r="K22" i="13"/>
  <c r="F22" i="15"/>
  <c r="D19" i="3"/>
  <c r="C21" i="11"/>
  <c r="S14" i="13"/>
  <c r="Q22" i="13"/>
  <c r="I22" i="13"/>
  <c r="G11" i="19"/>
  <c r="E18" i="5"/>
  <c r="S16" i="13"/>
  <c r="S10" i="13"/>
  <c r="M22" i="13"/>
  <c r="S9" i="13"/>
  <c r="E22" i="13"/>
  <c r="C30" i="18"/>
  <c r="G34" i="19"/>
  <c r="D33" i="19"/>
  <c r="G16" i="19"/>
  <c r="C8" i="19"/>
  <c r="G9" i="19"/>
  <c r="G8" i="19" s="1"/>
  <c r="E34" i="22"/>
  <c r="S13" i="13"/>
  <c r="V21" i="14"/>
  <c r="J21" i="17"/>
  <c r="F21" i="17"/>
  <c r="C8" i="18"/>
  <c r="H18" i="20"/>
  <c r="E22" i="20"/>
  <c r="E22" i="21"/>
  <c r="E21" i="21"/>
  <c r="C22" i="21"/>
  <c r="C21" i="21"/>
  <c r="H13" i="21"/>
  <c r="E8" i="26"/>
  <c r="K8" i="26"/>
  <c r="I8" i="26"/>
  <c r="S8" i="26"/>
  <c r="O8" i="26"/>
  <c r="H16" i="21"/>
  <c r="G8" i="26"/>
  <c r="R8" i="26"/>
  <c r="N8" i="26"/>
  <c r="C33" i="22"/>
  <c r="Q8" i="26"/>
  <c r="M8" i="26"/>
  <c r="C10" i="23"/>
  <c r="C15" i="23" s="1"/>
  <c r="C17" i="25"/>
  <c r="C15" i="25" s="1"/>
  <c r="P8" i="25"/>
  <c r="K33" i="27"/>
  <c r="N7" i="29"/>
  <c r="N19" i="29" s="1"/>
  <c r="I7" i="29"/>
  <c r="I19" i="29" s="1"/>
  <c r="D7" i="29"/>
  <c r="H8" i="25"/>
  <c r="C14" i="25"/>
  <c r="J8" i="25"/>
  <c r="F8" i="25"/>
  <c r="C17" i="26"/>
  <c r="F19" i="29"/>
  <c r="L8" i="25"/>
  <c r="E14" i="5" l="1"/>
  <c r="D8" i="11"/>
  <c r="H8" i="26"/>
  <c r="C53" i="12"/>
  <c r="P8" i="26"/>
  <c r="D8" i="25"/>
  <c r="H22" i="21"/>
  <c r="D21" i="11"/>
  <c r="G14" i="19"/>
  <c r="C10" i="8"/>
  <c r="E10" i="8" s="1"/>
  <c r="C8" i="12" s="1"/>
  <c r="C30" i="8"/>
  <c r="C69" i="3"/>
  <c r="D22" i="25"/>
  <c r="C27" i="25"/>
  <c r="C22" i="25" s="1"/>
  <c r="C13" i="8"/>
  <c r="E13" i="8" s="1"/>
  <c r="C11" i="12" s="1"/>
  <c r="G8" i="28"/>
  <c r="G21" i="19"/>
  <c r="S22" i="13"/>
  <c r="E11" i="3"/>
  <c r="C26" i="8"/>
  <c r="C35" i="19"/>
  <c r="E22" i="8"/>
  <c r="C20" i="12"/>
  <c r="D53" i="3"/>
  <c r="H25" i="16"/>
  <c r="L8" i="26"/>
  <c r="D3" i="24"/>
  <c r="F8" i="26"/>
  <c r="D19" i="29"/>
  <c r="H21" i="21"/>
  <c r="H22" i="15"/>
  <c r="D12" i="11"/>
  <c r="D17" i="11"/>
  <c r="D11" i="11"/>
  <c r="D16" i="11"/>
  <c r="D15" i="11"/>
  <c r="D13" i="11"/>
  <c r="E6" i="4"/>
  <c r="C43" i="4"/>
  <c r="D20" i="11"/>
  <c r="D19" i="11"/>
  <c r="C21" i="20"/>
  <c r="C9" i="8"/>
  <c r="E19" i="3"/>
  <c r="C15" i="12"/>
  <c r="C14" i="12" s="1"/>
  <c r="E16" i="8"/>
  <c r="C16" i="26"/>
  <c r="J8" i="26"/>
  <c r="C34" i="22"/>
  <c r="H33" i="22"/>
  <c r="C13" i="25"/>
  <c r="C8" i="17"/>
  <c r="C7" i="9"/>
  <c r="C21" i="8"/>
  <c r="D36" i="3"/>
  <c r="C32" i="8"/>
  <c r="E68" i="3"/>
  <c r="E7" i="3"/>
  <c r="C36" i="3"/>
  <c r="C22" i="12"/>
  <c r="C7" i="17" l="1"/>
  <c r="E8" i="17"/>
  <c r="C22" i="20"/>
  <c r="D22" i="20"/>
  <c r="D10" i="11"/>
  <c r="D69" i="3"/>
  <c r="D30" i="8"/>
  <c r="D28" i="8" s="1"/>
  <c r="D37" i="8" s="1"/>
  <c r="E30" i="8"/>
  <c r="E28" i="8" s="1"/>
  <c r="C28" i="12"/>
  <c r="C26" i="12" s="1"/>
  <c r="C28" i="8"/>
  <c r="C69" i="12"/>
  <c r="H34" i="22"/>
  <c r="C25" i="8"/>
  <c r="E26" i="8"/>
  <c r="C46" i="2"/>
  <c r="C30" i="12"/>
  <c r="C29" i="12" s="1"/>
  <c r="C31" i="8"/>
  <c r="E32" i="8"/>
  <c r="E31" i="8" s="1"/>
  <c r="E43" i="4"/>
  <c r="C45" i="4"/>
  <c r="C12" i="8"/>
  <c r="E12" i="8" s="1"/>
  <c r="C10" i="9"/>
  <c r="C19" i="12"/>
  <c r="C18" i="12" s="1"/>
  <c r="C20" i="8"/>
  <c r="E21" i="8"/>
  <c r="E20" i="8" s="1"/>
  <c r="E36" i="3"/>
  <c r="C11" i="9"/>
  <c r="E9" i="8"/>
  <c r="C8" i="8"/>
  <c r="F33" i="19"/>
  <c r="G35" i="19"/>
  <c r="C33" i="19"/>
  <c r="E53" i="3"/>
  <c r="D8" i="26"/>
  <c r="C8" i="25"/>
  <c r="C37" i="8" l="1"/>
  <c r="C24" i="12"/>
  <c r="C23" i="12" s="1"/>
  <c r="E25" i="8"/>
  <c r="C8" i="26"/>
  <c r="C7" i="12"/>
  <c r="C6" i="12" s="1"/>
  <c r="E8" i="8"/>
  <c r="C10" i="12"/>
  <c r="G33" i="19"/>
  <c r="G37" i="19" s="1"/>
  <c r="E45" i="4"/>
  <c r="C15" i="10"/>
  <c r="E7" i="17"/>
  <c r="K8" i="17"/>
  <c r="E69" i="3"/>
  <c r="H21" i="20"/>
  <c r="C21" i="17"/>
  <c r="C35" i="12" l="1"/>
  <c r="E21" i="17"/>
  <c r="H22" i="20"/>
  <c r="C12" i="10"/>
  <c r="C29" i="10" s="1"/>
  <c r="C47" i="2"/>
  <c r="C48" i="2" s="1"/>
  <c r="G39" i="19"/>
  <c r="E37" i="8"/>
  <c r="K7" i="17"/>
  <c r="N8" i="17"/>
  <c r="K6" i="28"/>
  <c r="C49" i="2" l="1"/>
  <c r="N7" i="17"/>
  <c r="C10" i="2"/>
  <c r="C20" i="2" s="1"/>
  <c r="C8" i="2"/>
  <c r="C18" i="2" s="1"/>
  <c r="C9" i="2"/>
  <c r="C5" i="9"/>
  <c r="K21" i="17"/>
  <c r="C12" i="18"/>
  <c r="E23" i="17"/>
  <c r="C18" i="18" l="1"/>
  <c r="C8" i="9"/>
  <c r="C13" i="9" s="1"/>
  <c r="C35" i="18"/>
  <c r="C19" i="2"/>
  <c r="N21" i="17"/>
  <c r="C36" i="18" l="1"/>
  <c r="C3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tc={BCA6C964-EA2C-4F0F-B082-4ECBF2EE7987}</author>
  </authors>
  <commentList>
    <comment ref="C7" authorId="0" shapeId="0" xr:uid="{BCA6C964-EA2C-4F0F-B082-4ECBF2EE7987}">
      <text>
        <t>[Threaded comment]
Your version of Excel allows you to read this threaded comment; however, any edits to it will get removed if the file is opened in a newer version of Excel. Learn more: https://go.microsoft.com/fwlink/?linkid=870924
Comment:
    31,03-ის მდგომარეობით 3 სტაიჯის თანხა
Reply:
    იგულისხემბა კვარტლის საწყისი</t>
      </text>
    </comment>
  </commentList>
</comments>
</file>

<file path=xl/sharedStrings.xml><?xml version="1.0" encoding="utf-8"?>
<sst xmlns="http://schemas.openxmlformats.org/spreadsheetml/2006/main" count="1227" uniqueCount="758">
  <si>
    <t>ზოგადი და ხარისხობრივი ინფორმაცია საცალო პროდუქტებზე</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</si>
  <si>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</si>
  <si>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</si>
  <si>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</si>
  <si>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</si>
  <si>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უმოქმედო სესხების ცვლილება</t>
  </si>
  <si>
    <t>მოსალოდნელი საკრედიტო ზარალის ცვლილება სესხებზე და კორპორატიულ სავალო ფასიან ქაღალდებზე</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</si>
  <si>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</si>
  <si>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</si>
  <si>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რისკის პოზიციის ღირებულება ნარჩენი ვადიანობის  და რისკის კლასების მიხედვით</t>
  </si>
  <si>
    <t>წმინდა სტაბილური დაფინანსების კოეფიციენტი</t>
  </si>
  <si>
    <t>ლევერიჯის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</si>
  <si>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</si>
  <si>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ლიკვიდობის გადაფარვის კოეფიციენტი</t>
  </si>
  <si>
    <t>სტანდარტიზებული მიდგომა - საკრედიტო რისკის მიტიგაციის ეფექტი</t>
  </si>
  <si>
    <t>საკრედიტო რისკის მიტიგაცია</t>
  </si>
  <si>
    <t>საკრედიტო რისკის მიხედვით შეწონილი რისკის პოზიციები</t>
  </si>
  <si>
    <t>საბალანსო უწყისისა და საზედამხედველო კაპიტალის ელემენტებს შორის კავშირები</t>
  </si>
  <si>
    <t>კაპიტალის ადეკვატურობის მოთხოვნები</t>
  </si>
  <si>
    <t>9.1</t>
  </si>
  <si>
    <t>საზედამხედველო კაპიტალი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</si>
  <si>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</si>
  <si>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</si>
  <si>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ინფორმაცია ბანკის სამეთვალყურეო საბჭოს, დირექტორატის და აქციონერთა შესახებ</t>
  </si>
  <si>
    <t>რისკის მიხედვით შეწონილი რისკის პოზიციები</t>
  </si>
  <si>
    <t xml:space="preserve">ბალანსგარეშე ანგარიშების უწყისი </t>
  </si>
  <si>
    <t>მოგება-ზარალის ანგარიშგება</t>
  </si>
  <si>
    <t>საბალანსო უწყისი</t>
  </si>
  <si>
    <t>ძირითადი მაჩვენებლები</t>
  </si>
  <si>
    <t>სარჩევი</t>
  </si>
  <si>
    <t>ცხრილი N</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</si>
  <si>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</si>
  <si>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www.silkbank.ge</t>
  </si>
  <si>
    <t>ბანკის ვებ-გვერდი</t>
  </si>
  <si>
    <t>ა.ხოროშვილი</t>
  </si>
  <si>
    <t>ბანკის გენერალური დირექტორი</t>
  </si>
  <si>
    <t>ი. მანაგაძე</t>
  </si>
  <si>
    <t>ბანკის სამეთვალყურეო საბჭოს თავმჯდომარე</t>
  </si>
  <si>
    <t>სს სილქ ბანკი</t>
  </si>
  <si>
    <t>ბანკის სრული დასახელება</t>
  </si>
  <si>
    <t>პილარ 3-ის კვარტალური ანგარიშგება</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</si>
  <si>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</si>
  <si>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</si>
  <si>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წმინდა სტაბილური დაფინანსების კოეფიციენტი (%)</t>
  </si>
  <si>
    <t>სტაბილური დაფინანსების საჭიროება</t>
  </si>
  <si>
    <t>ხელმისაწვდომი სტაბილური დაფინანსება</t>
  </si>
  <si>
    <t>ლიკვიდობის გადაფარვის კოეფიციენტი (%)</t>
  </si>
  <si>
    <t>ფულის წმინდა გადინება (სულ)</t>
  </si>
  <si>
    <t>მაღალი ხარისხის ლიკვიდური აქტივები (სულ)</t>
  </si>
  <si>
    <t>ლიკვიდობის გადაფარვის კოეფიციენტი ***</t>
  </si>
  <si>
    <t>მიმდინარე და მოთხოვნამდე დეპოზიტები / მთლიან აქტივებთან</t>
  </si>
  <si>
    <t>უცხოური ვალუტით არსებული ვალდებულებები / მთლიან ვალდებულებებთან</t>
  </si>
  <si>
    <t>ლიკვიდური აქტივები / მთლიან აქტივებთან</t>
  </si>
  <si>
    <t>ლიკვიდობა</t>
  </si>
  <si>
    <t>მთლიანი სესხების წლიური ზრდის ტემპი</t>
  </si>
  <si>
    <t>უცხოური ვალუტით არსებული აქტივები / მთლიან აქტივებთან</t>
  </si>
  <si>
    <t>უცხოური ვალუტით არსებული სესხები / მთლიან სესხებთან</t>
  </si>
  <si>
    <t>სშდრ / მთლიან სესხებთან</t>
  </si>
  <si>
    <t>უმოქმედო სესხები / მთლიან სესხებთან</t>
  </si>
  <si>
    <t>აქტივების ხარისხი</t>
  </si>
  <si>
    <t>უკუგება საშუალო კაპიტალზე (ROE)</t>
  </si>
  <si>
    <t>უკუგება საშუალო აქტივებზე (ROA)</t>
  </si>
  <si>
    <t>წმინდა საპროცენტო მარჟა</t>
  </si>
  <si>
    <t>საოპერაციო შედეგი / საშუალო წლიურ აქტივებთან</t>
  </si>
  <si>
    <t>მთლიანი საპროცენტო ხარჯები / საშუალო წლიურ აქტივებთან</t>
  </si>
  <si>
    <t>მთლიანი საპროცენტო შემოსავლები / საშუალო წლიურ აქტივებთან</t>
  </si>
  <si>
    <t>მოგება</t>
  </si>
  <si>
    <t>საზედამხედველო კაპიტალის ჯამური მოთხოვნა</t>
  </si>
  <si>
    <t>პირველადი კაპიტალის ჯამური მოთხოვნა</t>
  </si>
  <si>
    <t>ძირითადი პირველადი კაპიტალის ჯამური მოთხოვნა</t>
  </si>
  <si>
    <t>საზედამხედველო კაპიტალის კოეფიციენტი</t>
  </si>
  <si>
    <t>პირველადი კაპიტალის კოეფიციენტი</t>
  </si>
  <si>
    <t>ძირითადი პირველადი კაპიტალის კოეფიციენტი</t>
  </si>
  <si>
    <t>ბაზელ III-ზე დაფუძნებული ჩარჩოს მიხედვით *</t>
  </si>
  <si>
    <t>კაპიტალის ადეკვატურობის კოეფიციენტები (%)</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</si>
  <si>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</si>
  <si>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</si>
  <si>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პირველადი კაპიტალი</t>
  </si>
  <si>
    <t>ძირითადი პირველადი კაპიტალი</t>
  </si>
  <si>
    <t>ბაზელ III-ზე დაფუძნებული ჩარჩოს მიხედვით</t>
  </si>
  <si>
    <t>საზედამხედველო კაპიტალი (მოცულობა, ლარი)</t>
  </si>
  <si>
    <t>1Q 2022</t>
  </si>
  <si>
    <t>2Q 2022</t>
  </si>
  <si>
    <t>3Q 2022</t>
  </si>
  <si>
    <t>4Q 2022</t>
  </si>
  <si>
    <t>1Q-2022</t>
  </si>
  <si>
    <t>2Q-2022</t>
  </si>
  <si>
    <t>3Q-2022</t>
  </si>
  <si>
    <t>4Q-2022</t>
  </si>
  <si>
    <t>N</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</si>
  <si>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</si>
  <si>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</si>
  <si>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ცხრილი 1</t>
  </si>
  <si>
    <t>თარიღი:</t>
  </si>
  <si>
    <t>ბანკი:</t>
  </si>
  <si>
    <t>სულ საკუთარი კაპიტალი და ვალდებულებები</t>
  </si>
  <si>
    <t>სულ საკუთარი კაპიტალი</t>
  </si>
  <si>
    <t>გაუნაწილებელი მოგება</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</si>
  <si>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</si>
  <si>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</si>
  <si>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გადაფასების რეზერვი</t>
  </si>
  <si>
    <t>დაგროვილი სხვა სრული შემოსავალი</t>
  </si>
  <si>
    <t>აქციებზე დაფუძნებული გადახდის რეზერვი</t>
  </si>
  <si>
    <t>სხვა გამოშვებული წილობრივი ინსტრუმენტები</t>
  </si>
  <si>
    <t>რთული ფინანსური ინსტრუმენტის წილობრივი კომპონენტი</t>
  </si>
  <si>
    <t>გამოშვებული წილობრივი ინსტრუმენტები, გარდა საკუთარი კაპიტალისა</t>
  </si>
  <si>
    <t>(-) გამოსყიდული საკუთარი აქციები</t>
  </si>
  <si>
    <t>საემისიო კაპიტალი</t>
  </si>
  <si>
    <t>პრივილეგრირებული აქციები</t>
  </si>
  <si>
    <t>OK</t>
  </si>
  <si>
    <t>სააქციო კაპიტალი</t>
  </si>
  <si>
    <t>საკუთარი კაპიტალი</t>
  </si>
  <si>
    <t>სულ ვალდებულებები</t>
  </si>
  <si>
    <t>მათ შორის: გადასახდელი დივიდენდები</t>
  </si>
  <si>
    <t>სხვა ვალდებულებები</t>
  </si>
  <si>
    <t>სუბორდინირებული ვალდებულებები</t>
  </si>
  <si>
    <t>გადავადებული საგადასახადო ვალდებულებები</t>
  </si>
  <si>
    <t>მიმდინარე საგადასახადო ვალდებულებები</t>
  </si>
  <si>
    <t>საგადასახადო ვალდებულებები</t>
  </si>
  <si>
    <t>ანარიცხები</t>
  </si>
  <si>
    <t>სხვა ფინანსური ვალდებულებები</t>
  </si>
  <si>
    <t>გამოშვებული სავალო ფასიანი ქაღალდები</t>
  </si>
  <si>
    <t>ნასესხები სახსრები</t>
  </si>
  <si>
    <t>დეპოზიტები</t>
  </si>
  <si>
    <t>ამორტიზებული ღირებულებით შეფასებული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</si>
  <si>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</si>
  <si>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მათ შორის: წარმოებული ფინანსური ინსტრუმენტები</t>
  </si>
  <si>
    <t>სავაჭროდ გამიზნული ფინანსური ვალდებულებები</t>
  </si>
  <si>
    <t>ვალდებულებები</t>
  </si>
  <si>
    <t>სულ აქტივები</t>
  </si>
  <si>
    <t>მათ შორის: მისაღები დივიდენდები</t>
  </si>
  <si>
    <t>მათ შორის: დასაკუთრებული ქონება</t>
  </si>
  <si>
    <t>სხვა აქტივები</t>
  </si>
  <si>
    <t>გადავადებული საგადასახადო აქტივები</t>
  </si>
  <si>
    <t>მიმდინარე საგადასახადო აქტივები</t>
  </si>
  <si>
    <t>საგადასახადო აქტივები</t>
  </si>
  <si>
    <t>სხვა არამატერიალური აქტივები</t>
  </si>
  <si>
    <t>გუდვილი</t>
  </si>
  <si>
    <t>არამატერიალური აქტივები</t>
  </si>
  <si>
    <t>საინვესტიციო ქონება</t>
  </si>
  <si>
    <t>ძირითადი საშუალებები</t>
  </si>
  <si>
    <t>მატერიალური აქტივები</t>
  </si>
  <si>
    <t>გასაყიდად გამიზნული გრძელვადიანი აქტივები და გამსვლელი ჯგუფები</t>
  </si>
  <si>
    <t>ინვესტიციები შვილობილ, მეკავშირე და ერთობლივ საწარმოებში</t>
  </si>
  <si>
    <t>გაცემული სესხები და მოთხოვნები</t>
  </si>
  <si>
    <t>სავალო ფასიანი ქაღალდები</t>
  </si>
  <si>
    <t>ამორტიზებული ღირებულებით შეფასებული ფინანსური აქტივები</t>
  </si>
  <si>
    <t>წილობრივი ინსტრუმენტები</t>
  </si>
  <si>
    <t>რეალური ღირებულებით შეფასებული ფინანსური აქტივები, სხვა სრულ შემოსავალში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</si>
  <si>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</si>
  <si>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</si>
  <si>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სავაჭროდ გამიზნული ფინანსური აქტივები</t>
  </si>
  <si>
    <t>ფულადი სახსრები სხვა ბანკებში</t>
  </si>
  <si>
    <t>ფულადი სახსრები საქართველოს ეროვნულ ბანკში</t>
  </si>
  <si>
    <t>ნაღდი ფული</t>
  </si>
  <si>
    <t>ნაღდი ფული, ფულადი სახსრები საქართველოს ეროვნული ბანკში და სხვა ბანკებში</t>
  </si>
  <si>
    <t>აქტივები</t>
  </si>
  <si>
    <t>სულ</t>
  </si>
  <si>
    <t>უცხ.ვალუტა</t>
  </si>
  <si>
    <t>ლარი</t>
  </si>
  <si>
    <t>წინა წლის შესაბამისი პერიოდი</t>
  </si>
  <si>
    <t>საანგარიშგებო პერიოდი</t>
  </si>
  <si>
    <t>ფინანსური მდგომარეობის ანგარიშგება</t>
  </si>
  <si>
    <t>მოგება ან (-) ზარალი დაბეგვრის შემდეგ</t>
  </si>
  <si>
    <t>(მოგების გადასახადის ხარჯი ან (-) შემოსავალი)</t>
  </si>
  <si>
    <t>მოგება ან (-) ზარალი დაბეგვრამდე</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</si>
  <si>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</si>
  <si>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არაფინანსური აქტივების გაუფასურება ან (-) გაუფასურების ანულირება</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</si>
  <si>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</si>
  <si>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(ამორტიზებული ღირებულებით შეფასებული ფინანსური აქტივები)</t>
  </si>
  <si>
    <t>(რეალური ღირებულებით შეფასებული ფინანსური აქტივები, სხვა სრულ შემოსავალში ასახვით)</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</si>
  <si>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</si>
  <si>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(სხვა ანარიცხები)</t>
  </si>
  <si>
    <t>(გაცემული გარანტიები და შესრულების პირობა)</t>
  </si>
  <si>
    <t>(ანარიცხები ან (-) ანარიცხების ანულირება)</t>
  </si>
  <si>
    <t>ფინანსური ინსტრუმენტების მოდოფიკაციით მიღებული შემოსულობა ან (-) ზარალი,წმინდა</t>
  </si>
  <si>
    <t>(ცვეთის და ამორტიზაციის ხარჯები)</t>
  </si>
  <si>
    <t>(სხვა ადმინისტრაციული ხარჯი)</t>
  </si>
  <si>
    <t>(შრომის ანაზღაურების ხარჯი)</t>
  </si>
  <si>
    <t>(ადმინისტრაციული ხარჯები)</t>
  </si>
  <si>
    <t>(სხვა საოპერაციო ხარჯი)</t>
  </si>
  <si>
    <t>სხვა საოპერაციო შემოსავალი</t>
  </si>
  <si>
    <t>არაფინანსური აქტივების აღიარების შეწყვეტიდან მიღებული შემოსულობა ან (-) ზარალი,წმინდა</t>
  </si>
  <si>
    <t>საკურსო სხვაობა [შემოსულობა ან (-) ზარალი],წმინდა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</si>
  <si>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</si>
  <si>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</si>
  <si>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სავაჭროდ გამიზნული ფინანსური აქტივებიდან და ვალდებულებებიდან,წმინდა</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</si>
  <si>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</si>
  <si>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(საკომისიო ხარჯი)</t>
  </si>
  <si>
    <t>საკომისიო შემოსავალი</t>
  </si>
  <si>
    <t>შემოსავალი დივიდენდებიდან</t>
  </si>
  <si>
    <t>(სხვა ვალდებულებები)</t>
  </si>
  <si>
    <t>(ამორტიზებული ღირებულებით შეფასებული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</si>
  <si>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</si>
  <si>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(სავაჭროდ გამიზნული ფინანსური ვალდებულებები)</t>
  </si>
  <si>
    <t>(საპროცენტო ხარჯები)</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</si>
  <si>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</si>
  <si>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</si>
  <si>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საპროცენტო შემოსავალი</t>
  </si>
  <si>
    <t>კაპიტალური დანახარჯების პოტენციური სახელშეკრულებო ვალდებულება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</si>
  <si>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</si>
  <si>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</si>
  <si>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</si>
  <si>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3 თვის განმავალობაში ბალანსიდან ჩამოწერილი საკრედიტო მოთხოვნების ძირი თანხა</t>
  </si>
  <si>
    <t>ზარალში ჩამოწერილი ვალები</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</si>
  <si>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</si>
  <si>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სხვა წარმოებული ინსტრუმენტების ფარგლებში ბანკის პოტენციური მოთხოვნის ნომინალური ღირებულება</t>
  </si>
  <si>
    <t>ნაყიდი ოფციონები</t>
  </si>
  <si>
    <t>გაყიდული ოფციონები</t>
  </si>
  <si>
    <t xml:space="preserve">საპროცენტო განაკვეთთან დაკავშირებული კონტრაქტების (გარდა ოფციონებისა) ძირითადი თანხა </t>
  </si>
  <si>
    <t>სავალუტო კურსთან დაკავშირებული კონტრაქტების (გარდა ოფციონებისა) ფარგლებში გასაცები თანხები</t>
  </si>
  <si>
    <t>სავალუტო კურსთან დაკავშირებული კონტრაქტების (გარდა ოფციონებისა) ფარგლებში მისაღები თანხები</t>
  </si>
  <si>
    <t>წარმოებული ფინანსური ინსტრუმენტები</t>
  </si>
  <si>
    <t>აკრედიტივი</t>
  </si>
  <si>
    <t>გაცემული გარანტიები</t>
  </si>
  <si>
    <t>სესხის გაცემის ვალდებულებები</t>
  </si>
  <si>
    <t>სხვა</t>
  </si>
  <si>
    <t xml:space="preserve">ფასიანი ქაღალდები  </t>
  </si>
  <si>
    <t>წილის გირავნობა</t>
  </si>
  <si>
    <t>მოძრავი ქონება</t>
  </si>
  <si>
    <t>5.3.5</t>
  </si>
  <si>
    <t>მიწის ნაკვეთები (შენობა ნაგებობების გარეშე)</t>
  </si>
  <si>
    <t>5.3.4</t>
  </si>
  <si>
    <t>კომპლექსური ტიპის უძრავი ქონება</t>
  </si>
  <si>
    <t>5.3.3</t>
  </si>
  <si>
    <t>კომერციული</t>
  </si>
  <si>
    <t>5.3.2</t>
  </si>
  <si>
    <t>საცხოვრებელი</t>
  </si>
  <si>
    <t>5.3.1</t>
  </si>
  <si>
    <t>უძრავი ქონება:</t>
  </si>
  <si>
    <t>ძვირფასი ლითონები და ქვები</t>
  </si>
  <si>
    <t>ფულადი სახსრები</t>
  </si>
  <si>
    <t>გირავნობის უზრუნველყოფის სახით მიღებული აქტივები:</t>
  </si>
  <si>
    <t>ბანკის არაფინანსური აქტივები</t>
  </si>
  <si>
    <t>ბანკის ფინანსური აქტივები</t>
  </si>
  <si>
    <t>ბანკის მიმართ არსებული მოთხოვნის უზრუნველყოფის მიზნით დატვირთული ბანკის აქტივები</t>
  </si>
  <si>
    <t xml:space="preserve">გარანტია </t>
  </si>
  <si>
    <t xml:space="preserve">თავდებობა, სოლიდარული პასუხისმგებლობა </t>
  </si>
  <si>
    <t>ბანკის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</si>
  <si>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მიღებული გარანტიები</t>
  </si>
  <si>
    <t>მიღებული "სესხის გაცემის ვალდებულებები"</t>
  </si>
  <si>
    <t>ბალანსგარეშე ანგარიშგების უწყისი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</si>
  <si>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</si>
  <si>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სულ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</si>
  <si>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</si>
  <si>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საბაზრო რისკის მიხედვით შეწონილი რისკის პოზიციები</t>
  </si>
  <si>
    <t>გარესაბალანსო ელემენტები</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</si>
  <si>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</si>
  <si>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1.1.1</t>
  </si>
  <si>
    <t>საბალანსო ელემენტები*</t>
  </si>
  <si>
    <t>საკრედიტო რისკი მიხედვით შეწონილი რისკის პოზიციები</t>
  </si>
  <si>
    <t>ლარებით</t>
  </si>
  <si>
    <t>ცხრილი 5</t>
  </si>
  <si>
    <t>ალექსანდრე ხეთაგური</t>
  </si>
  <si>
    <t>სს სილქ ჰოლდინგი</t>
  </si>
  <si>
    <t xml:space="preserve"> ერკინ ტატიშევი, ყაზახეთი</t>
  </si>
  <si>
    <t>2.1.1</t>
  </si>
  <si>
    <t>აქციებით შეზღუდული კერძო კომპანია ბრეიტენბერგ პრაივიტ ლიმიტედ, სინგაპური</t>
  </si>
  <si>
    <t>შპს პარტომტა</t>
  </si>
  <si>
    <t>დევიდ ფრანც ბორგერი, გერმანია</t>
  </si>
  <si>
    <t>ალექსი თოფურია</t>
  </si>
  <si>
    <t>გიორგი რამიშვილი</t>
  </si>
  <si>
    <t>სილქ როუდ გრუპ ჰოლდინგ (მალტა) ლიმიტედ, მალტა</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</si>
  <si>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</si>
  <si>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საწესდებო კაპიტალის 1% და მეტი წილის მფლობელი აქციონერების ჩამონათვალი წილების მითითებით</t>
  </si>
  <si>
    <t>პროდუქტებისა და ინოვაციების დირექტორი</t>
  </si>
  <si>
    <t>დავით ნინიძე</t>
  </si>
  <si>
    <t>რისკების დირექტორი</t>
  </si>
  <si>
    <t>გიორგი კალოიანი</t>
  </si>
  <si>
    <t>ინფორმაციული ტექნოლოგიების დირექტორი</t>
  </si>
  <si>
    <t>ირაკლი ბენდელიანი</t>
  </si>
  <si>
    <t>ოპერაციების მართვის დირექტორი</t>
  </si>
  <si>
    <t>ნათია მერაბიშვილი</t>
  </si>
  <si>
    <t>იურიდიული დირექტორი</t>
  </si>
  <si>
    <t>გიორგი ღიბრაძე</t>
  </si>
  <si>
    <t>გენერალური დირექტორი</t>
  </si>
  <si>
    <t>ალექსი ხოროშვილი</t>
  </si>
  <si>
    <t>პოზიციის დასახელება/კონტროლს დაქვემდებარებული მიმართულება ბანკში</t>
  </si>
  <si>
    <t>დირექტორთა საბჭოს შემადგენლობა</t>
  </si>
  <si>
    <t>დამოუკიდებელი წევრი</t>
  </si>
  <si>
    <t>ნანა ჩხობაძე</t>
  </si>
  <si>
    <t>მზია ქოქუაშვილი</t>
  </si>
  <si>
    <t>არადამოუკიდებელ წევრი</t>
  </si>
  <si>
    <t>დევიდ ფრანც ბორგერი, /გერმანია/</t>
  </si>
  <si>
    <t>არჩილ ლურსმანაშვილი</t>
  </si>
  <si>
    <t>ვასილ კენკიშვილი</t>
  </si>
  <si>
    <t>დამოუკიდებელი თავმჯდომარე</t>
  </si>
  <si>
    <t>ირაკლი მანაგაძე</t>
  </si>
  <si>
    <t>დამოუკიდებლობის სტატუსი</t>
  </si>
  <si>
    <t>სამეთვალყურეო საბჭოს შემადგენლობა</t>
  </si>
  <si>
    <t>ცხრილი 6</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</si>
  <si>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</si>
  <si>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</si>
  <si>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</si>
  <si>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</si>
  <si>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</si>
  <si>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სტანდარტიზებული საზედამხედველო ანგარიშგების საბალანსო ელემენტები </t>
  </si>
  <si>
    <t>c</t>
  </si>
  <si>
    <t>b</t>
  </si>
  <si>
    <t>a</t>
  </si>
  <si>
    <t>ცხრილი 7</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</si>
  <si>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</si>
  <si>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სულ საკრედიტო რისკის მიხედვით შეწონვას დაქვემდებარებული რისკის პოზიციები</t>
  </si>
  <si>
    <t>სხვა კორექტირებების ეფექტი (ასეთის არსებობის შემთხვევაში) *</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</si>
  <si>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</si>
  <si>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</si>
  <si>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</si>
  <si>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</si>
  <si>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</si>
  <si>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</si>
  <si>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</si>
  <si>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ცხრილი 8</t>
  </si>
  <si>
    <t xml:space="preserve">   </t>
  </si>
  <si>
    <t>მეორადი კაპიტალი</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</si>
  <si>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</si>
  <si>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</si>
  <si>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კაპიტალის ინსტრუმენტებში ორმხრივი მფლობელობა</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</si>
  <si>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</si>
  <si>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საზედამხედველო კორექტირებები</t>
  </si>
  <si>
    <t>ზოგადი რეზერვები საკრედიტო რისკის მიხედვით შეწონილი რისკის პოზიციების მაქსიმუმ 1.25%–ის ოდენობით</t>
  </si>
  <si>
    <t>დამატებითი სახსრები ინსტრუმენტებზე, რომლებიც აკმაყოფილებენ მეორადი კაპიტალის კრიტერიუმებს</t>
  </si>
  <si>
    <t>ინსტრუმენტები, რომლებიც აკმაყოფილებენ მეორადი კაპიტალის კრიტერიუმებს</t>
  </si>
  <si>
    <t>მეორადი კაპიტალი საზედამხედველო კორექტირებებამდე</t>
  </si>
  <si>
    <t>დამატებითი პირველადი კაპიტალი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</si>
  <si>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</si>
  <si>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</si>
  <si>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დამატებითი პირველადი კაპიტალის ინსტრუმენტებში ჯვარედინი მფლობელობა</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</si>
  <si>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</si>
  <si>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</si>
  <si>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</si>
  <si>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მათ შორის, კლასიფიცირებული ვალდებულებად შესაბამისი ბუღალტრული აღრიცხვის სტანდარტებით</t>
  </si>
  <si>
    <t>მათ შორის, კლასიფიცირებული კაპიტალად შესაბამისი ბუღალტრული აღრიცხვის სტანდარტებით</t>
  </si>
  <si>
    <t>ინსტრუმენტები,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</si>
  <si>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 საზედამხედველო კორექტირებებამდე</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</si>
  <si>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</si>
  <si>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</si>
  <si>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</si>
  <si>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</si>
  <si>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სხვა დაქვითვები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</si>
  <si>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</si>
  <si>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</si>
  <si>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</si>
  <si>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ფულადი ნაკადების ჰეჯირების რეზერვი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</si>
  <si>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</si>
  <si>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ინვესტიციები საკუთარ აქციებში</t>
  </si>
  <si>
    <t>აქტივების კლასიფიკაციის შედეგად მიღებული რეზერვების უკმარისობა</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</si>
  <si>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</si>
  <si>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გადაფასების რეზერვი</t>
  </si>
  <si>
    <t>ძირითადი პირველადი კაპიტალის საზედამხედველო კორექტირებები</t>
  </si>
  <si>
    <t>გაუნაწილებელი მოგება (ზარალი)</t>
  </si>
  <si>
    <t>სხვა რეზერვები</t>
  </si>
  <si>
    <t>აკუმულირებული სხვა სრული შემოსავალი</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</si>
  <si>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</si>
  <si>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ჩვეულებრივი აქციები, რომლებიც აკმაყოფილებენ ძირითადი პირველადი კაპიტალის კრიტერიუმებს</t>
  </si>
  <si>
    <t>ძირითადი პირველადი კაპიტალი საზედამხედველო კორექტირებამდე</t>
  </si>
  <si>
    <t>ცხრილი 9</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</si>
  <si>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</si>
  <si>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6</t>
  </si>
  <si>
    <t>თანხა (ლარი)</t>
  </si>
  <si>
    <t>კოეფიციენტი</t>
  </si>
  <si>
    <t>ჯამური მოთხოვნები</t>
  </si>
  <si>
    <t>პილარ 2-ის მოთხოვნა საზედამხედველო კაპიტალზე</t>
  </si>
  <si>
    <t>3.3</t>
  </si>
  <si>
    <t>პილარ 2-ის მოთხოვნა პირველად კაპიტალზე</t>
  </si>
  <si>
    <t>3.2</t>
  </si>
  <si>
    <t>პილარ 2-ის მოთხოვნა ძირითად პირველად კაპიტალზე</t>
  </si>
  <si>
    <t>3.1</t>
  </si>
  <si>
    <t>პილარ 2-ის მოთხოვნა</t>
  </si>
  <si>
    <t>3</t>
  </si>
  <si>
    <t>სისტემური რისკის ბუფერი</t>
  </si>
  <si>
    <t>2.3</t>
  </si>
  <si>
    <t>კონტრციკლური ბუფერი</t>
  </si>
  <si>
    <t>2.2</t>
  </si>
  <si>
    <t>კაპიტალის კონსერვაციის ბუფერი*</t>
  </si>
  <si>
    <t>2.1</t>
  </si>
  <si>
    <t>კომბინირებული ბუფერი</t>
  </si>
  <si>
    <t>2</t>
  </si>
  <si>
    <t>საზედამხედველო კაპიტალის მინიმალური მოთხოვნა</t>
  </si>
  <si>
    <t>1.3</t>
  </si>
  <si>
    <t>პირველადი კაპიტალის მინიმალური მოთხოვნა</t>
  </si>
  <si>
    <t>1.2</t>
  </si>
  <si>
    <t>ძირითადი პირველადი კაპიტალის მინიმალური მოთხოვნა</t>
  </si>
  <si>
    <t>1.1</t>
  </si>
  <si>
    <t>პილარ 1-ის მოთხოვნები</t>
  </si>
  <si>
    <t>მინიმალური მოთხოვნები</t>
  </si>
  <si>
    <t>ცხრილი 9.1</t>
  </si>
  <si>
    <t xml:space="preserve"> ცხრილი 9 (Capital), N6</t>
  </si>
  <si>
    <t xml:space="preserve"> ცხრილი 9 (Capital), N38</t>
  </si>
  <si>
    <t>მ.შ. სუბორდინირებული ვალდებულებების საკონტრაქტო ღირებულება</t>
  </si>
  <si>
    <t xml:space="preserve"> ცხრილი 9 (Capital), N10 </t>
  </si>
  <si>
    <t>კავშირი Capital-ის ცხრილთან</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</si>
  <si>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</si>
  <si>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ცხრილი 10</t>
  </si>
  <si>
    <t>სხვა ერთეულები</t>
  </si>
  <si>
    <t>მოთხოვნები კოლექტიური ინვესტიციების სახით</t>
  </si>
  <si>
    <t>მოკლევადიანი მოთხოვნები კორპორატიული კლიენტების მიმართ</t>
  </si>
  <si>
    <t>მაღალი საზედამხედველო რისკის კატეგორიაში შემავალი ერთეულები</t>
  </si>
  <si>
    <t>ვადაგადაცილებული სესხები</t>
  </si>
  <si>
    <t>უპირობო და პირობითი მოთხოვნები, რომლებიც უზრუნველყოფილია საცხოვრებელი უძრავი ქონებით</t>
  </si>
  <si>
    <t>უპირობო და პირობითი საცალო მოთხოვნები</t>
  </si>
  <si>
    <t>უპირობო და პირობითი მოთხოვნები კორპორატიული კლიენტების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</si>
  <si>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</si>
  <si>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</si>
  <si>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</si>
  <si>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</si>
  <si>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</si>
  <si>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ცენტრალური მთავრობებისა და ცენტრალური ბანკების მიმართ</t>
  </si>
  <si>
    <t>გარესაბალანსო</t>
  </si>
  <si>
    <t>საბალანსო</t>
  </si>
  <si>
    <t>საკრედიტო რისკის მიხედვით შეწონილი რისკის პოზიციები საკრედიტო რისკის მიტიგაციამდე</t>
  </si>
  <si>
    <t xml:space="preserve">                                                                                                                                           რისკის წონები
აქტივების კლასები</t>
  </si>
  <si>
    <t>q</t>
  </si>
  <si>
    <t>p</t>
  </si>
  <si>
    <t>o</t>
  </si>
  <si>
    <t>n</t>
  </si>
  <si>
    <t>m</t>
  </si>
  <si>
    <t>l</t>
  </si>
  <si>
    <t>k</t>
  </si>
  <si>
    <t>j</t>
  </si>
  <si>
    <t>i</t>
  </si>
  <si>
    <t>h</t>
  </si>
  <si>
    <t>g</t>
  </si>
  <si>
    <t>f</t>
  </si>
  <si>
    <t>e</t>
  </si>
  <si>
    <t>d</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</si>
  <si>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</si>
  <si>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ცხრილი 11</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</si>
  <si>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</si>
  <si>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კომერციული ბანკების უზრუნველყოფა</t>
  </si>
  <si>
    <t>საჯარო დაწესებულებების უზრუნველყოფა</t>
  </si>
  <si>
    <t>საერთაშორისო ორგანიზაციების უზრუნველყოფა</t>
  </si>
  <si>
    <t>მრავალმხრივი განვითარების ბანკების უზრუნველყოფა</t>
  </si>
  <si>
    <t>რეგიონული მთავრობებისა და ადგილობრივი თვითმმართველობების უზრუნველყოფა</t>
  </si>
  <si>
    <t>ცენტრალური მთავრობებისა და ცენტრალური ბანკების უზრუნველყოფა</t>
  </si>
  <si>
    <t xml:space="preserve">წილი კოლექტიურ საინვესტიციო სქემებში </t>
  </si>
  <si>
    <t>კომერციული ბანკების მიერ გამოშვებული საკრედიტო შეფასების არ მქონე სავალო ფასიანი ქაღალდები</t>
  </si>
  <si>
    <t>ოქროს სტანდარტული ზოდი ან მისი ექვივალენტი</t>
  </si>
  <si>
    <t>წილი კაპიტალში ან კონვერტირებადი ობლიგაციები, რომლებიც შედის მთავარ ინდექსში</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</si>
  <si>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</si>
  <si>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</si>
  <si>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</si>
  <si>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</si>
  <si>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</si>
  <si>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საბალანსო ელემენტების ერთმანეთთან ურთიერთგაქვითვა</t>
  </si>
  <si>
    <t>სულ საკრედიტო რისკის მიტიგაცია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</si>
  <si>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</si>
  <si>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</si>
  <si>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კრედიტის დაუფინანსებელი უზრუნველყოფა</t>
  </si>
  <si>
    <t>კრედიტის დაფინანსებული უზრუნველყოფა</t>
  </si>
  <si>
    <t>საკრედიტო რისკის მიტიგაცია 
(საბალანსო და გარესაბალანსო ელემენტები)</t>
  </si>
  <si>
    <t>ცხრილი 12</t>
  </si>
  <si>
    <t xml:space="preserve">გარესაბალანსო ელემენტები კონვერსიის ფაქტორის გათვალისწინებით </t>
  </si>
  <si>
    <t>გარესაბალანსო ელემენტები ნომინალური ღირებულება</t>
  </si>
  <si>
    <t>რისკის მიხედვით შეწონილი აქტივების სიმკვრივე* f=e/(a+c)</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</si>
  <si>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</si>
  <si>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 საკრედიტო რისკის მიტიგაციამდე</t>
  </si>
  <si>
    <t xml:space="preserve">გარესაბალანსო ელემენტები </t>
  </si>
  <si>
    <t>საბალანსო ელემენტები - რისკის პოზიციების ღირებულება</t>
  </si>
  <si>
    <t>სტანდარტიზებული მიდგომა - საკრედიტო რისკის მიტიგაცია</t>
  </si>
  <si>
    <t>ცხრილი 13</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</si>
  <si>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</si>
  <si>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ფულის წმინდა გადინება</t>
  </si>
  <si>
    <t>მაღალი ხარისხის ლიკვიდური აქტივები</t>
  </si>
  <si>
    <t>მთლიანი თანხა ბაზელის მეთოდოლოგიით (ლიმიტების გათვალისწინებით)</t>
  </si>
  <si>
    <t>მთლიანი თანხა სებ-ის მეთოდოლოგიით (ლიმიტების გათვალისწინებით)</t>
  </si>
  <si>
    <t>ფულის მთლიანი შემოდინება</t>
  </si>
  <si>
    <t>ფულის სხვა შემოდინება</t>
  </si>
  <si>
    <t>სხვა შემოდინება კონტრაგენტებიდან</t>
  </si>
  <si>
    <t>უკურეპო ოპერაციები და ფასიანი ქაღალდების სესხება</t>
  </si>
  <si>
    <t>შემოდინება</t>
  </si>
  <si>
    <t>ფულის მთლიანი გადინება</t>
  </si>
  <si>
    <t>სხვა გადინება</t>
  </si>
  <si>
    <t>სხვა საკონტრაქტო გადინება</t>
  </si>
  <si>
    <t>ბალანსგარეშე ვალდებულებები და წარმოებული ფინანსური ინსტრუმენტების წმინდა მოკლე პოზიცია</t>
  </si>
  <si>
    <t>უზრუნველყოფილი დაფინანსება</t>
  </si>
  <si>
    <t>არაუზრუნველყოფილი საბითუმო დაფინანსება</t>
  </si>
  <si>
    <t>ფიზიკური პირების დეპოზიტები</t>
  </si>
  <si>
    <t>გადინება</t>
  </si>
  <si>
    <t>უცხ. ვალუტა</t>
  </si>
  <si>
    <t>ბაზელის მეთოდოლოგიით შეწონილი მონაცემები (დღიური საშუალო)</t>
  </si>
  <si>
    <t>სებ-ის მეთოდოლოგიით* შეწონილი მონაცემები (დღიური საშუალო)</t>
  </si>
  <si>
    <t>შეუწონავი მონაცემები (დღიური საშუალო)</t>
  </si>
  <si>
    <t>ცხრილი 14</t>
  </si>
  <si>
    <t>კონტრაქტები 5 წელზე მეტი ვადით</t>
  </si>
  <si>
    <t>კონტრაქტები 4–დან 5 წლამდე ვადით</t>
  </si>
  <si>
    <t>კონტრაქტები 3–დან 4 წლამდე ვადით</t>
  </si>
  <si>
    <t>კონტრაქტები 2–დან 3 წლამდე ვადით</t>
  </si>
  <si>
    <t>კონტრაქტები 1–დან 2 წლამდე ვადით</t>
  </si>
  <si>
    <t>კონტრაქტები 1  წელზე ნაკლები ვადით</t>
  </si>
  <si>
    <t>საპროცენტო განაკვეთთან დაკავშირებული კონტრაქტები</t>
  </si>
  <si>
    <t>სავალუტო კურსთან დაკავშირებული კონტრაქტები</t>
  </si>
  <si>
    <t>რისკის პოზიციების 
ღირებულება</t>
  </si>
  <si>
    <t>პროცენტი</t>
  </si>
  <si>
    <t xml:space="preserve">ნომინალური 
ღირებულება </t>
  </si>
  <si>
    <t>ცხრილი 15</t>
  </si>
  <si>
    <t>* COVID 19-თან დაკავშირებული რეზერვები აკლდება საბალანსო ელემენტებს</t>
  </si>
  <si>
    <t xml:space="preserve">ფიდუციარული აქტივების მოცულობა რომლებიც აკლდება მთლიან რისკის პოზიციებს </t>
  </si>
  <si>
    <t>EU-24</t>
  </si>
  <si>
    <t>გარდამავალი მიდგომები კაპიტალის განსაზღვისთვის</t>
  </si>
  <si>
    <t>EU-23</t>
  </si>
  <si>
    <t>გარდამავალი მიდგომები და აუღიარებელი ფიდუციარული აქტივები</t>
  </si>
  <si>
    <t>მთლიანი რისკის პოზიციები ლევერიჯის კოეფიციენტის მიზნებისთვის</t>
  </si>
  <si>
    <t>კაპიტალი და მთლიანი რისკის პოზიციები</t>
  </si>
  <si>
    <t>(საჯარო დაწესებულებების მიმართ არსებული რისკის პოზიციების დაქვითვა)</t>
  </si>
  <si>
    <t>EU-19b</t>
  </si>
  <si>
    <t>(შიდაჯგუფური რისკის პოზიციების დაქვითვა)</t>
  </si>
  <si>
    <t>EU-19a</t>
  </si>
  <si>
    <t>საბალანსო და გარესაბალანსო ელემენტების ნებადართული დაქვითვები</t>
  </si>
  <si>
    <t xml:space="preserve">სულ გარესაბალანსო ელემენტები </t>
  </si>
  <si>
    <t>(გარესაბალანსო ელემენტების საკრედიტო კონვერსიის ფაქტორის ეფექტი)</t>
  </si>
  <si>
    <t>გარესაბალანსო ელემენტების ნომინალური ღირებულება</t>
  </si>
  <si>
    <t>გარესაბალანსო რისკის პოზიციები</t>
  </si>
  <si>
    <t>სულ ფასიანი ქაღალდებით დაფინანსებული ტრანზაქციები</t>
  </si>
  <si>
    <t>(საშუამავლო ტრანზაქციების დაქვითვები)</t>
  </si>
  <si>
    <t>EU-15a</t>
  </si>
  <si>
    <t>საშუამავლო ტრანზაქციები</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</si>
  <si>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</si>
  <si>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EU-14a</t>
  </si>
  <si>
    <t xml:space="preserve">კონტრაჰენტის საკრედიტო რისკთან დაკავშირებული დამატებითი ღირებულება </t>
  </si>
  <si>
    <t>(მისაღები და გადასახდელი თანხების ურთიერთგაქვითვა)</t>
  </si>
  <si>
    <t xml:space="preserve">ფასიანი ქაღალდებით დაფინანსებული ტრანზაქციების მთლიანი სააღრიცხვო ღირებულება </t>
  </si>
  <si>
    <t>ფასიანი ქაღალდებით დაფინანსებული ტრანზაქციები</t>
  </si>
  <si>
    <t>სულ წარმოებული ინსტრუმენტები</t>
  </si>
  <si>
    <t>(ეფექტური ნომინალური ღირებულების დაქვითვები)</t>
  </si>
  <si>
    <t>გაყიდული კრედიტის წარმოებული ინსტრუმენტების კორექტირებული ეფექტური ნომინალური ღირებულება</t>
  </si>
  <si>
    <t>(ფინანსურ შუამავლობასთან დაკავშირებული რისკის პოზიციების დაქვითვა)</t>
  </si>
  <si>
    <t>(მოთხოვნად აღიარებული გადახდილი ვარიაციის მარჟის თანხის დაქვითვა)</t>
  </si>
  <si>
    <t xml:space="preserve">წარმოებული ინსტრუმენტების სანაცვლოდ მიღებული უზრუნველყოფების ღირებულება  </t>
  </si>
  <si>
    <t>კაპიტალის ადეკვატურობის 50-ე მუხლით განსაზღვრული რისკის პოზიციები</t>
  </si>
  <si>
    <t>EU-5a</t>
  </si>
  <si>
    <t>მოსალოდნელი საკრედიტო რისკის პოზიციები</t>
  </si>
  <si>
    <t xml:space="preserve">წარმოებული ინსტრუმენტები ჩანაცვლების ღირებულება </t>
  </si>
  <si>
    <t>წარმოებული ინსტრუმენტები</t>
  </si>
  <si>
    <t xml:space="preserve">სულ საბალანსო ელემენტები </t>
  </si>
  <si>
    <t>(პირველადი კაპიტალიდან დაქვითული ელემენტები)</t>
  </si>
  <si>
    <t>საბალანსო ელემენტები *</t>
  </si>
  <si>
    <t xml:space="preserve">საბალანსო ელემენტები </t>
  </si>
  <si>
    <t>ცხრილი 15.1</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</si>
  <si>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</si>
  <si>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სულ სტაბილური დაფინანსების საჭიროება</t>
  </si>
  <si>
    <t>გარებალანსური მუხლები</t>
  </si>
  <si>
    <t>ყველა სხვა აქტივი, რომელიც არ შედის ზემოაღნიშნულ სდს კატეგორიებში</t>
  </si>
  <si>
    <t>დერივატივებთან დაკავშირებული აქტივები</t>
  </si>
  <si>
    <t>ურთიერთდაკავშირებული აქტივები</t>
  </si>
  <si>
    <t>ფასიანი ქაღალდები, რომლებიც არ კლასიფიცირდება მაღალი ხარისხის ლიკვიდურ აქტივებად</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</si>
  <si>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</si>
  <si>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</si>
  <si>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არაფინანსურ ინსტიტუტებსა და ფიზიკურ პირებზე გაცემული სესხები, მათ შორის:</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</si>
  <si>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</si>
  <si>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</si>
  <si>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სტანდარტულად კლასიფიცირებული სესხები და ფასიანი ქაღალდები:</t>
  </si>
  <si>
    <t>სულ ხელმისაწვდომი სტაბილური დაფინანსება</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</si>
  <si>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</si>
  <si>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დერივატივებთან დაკავშირებული ვალდებულებები</t>
  </si>
  <si>
    <t>ურთიერთდაკავშირებული ვალდებულებები</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</si>
  <si>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</si>
  <si>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</si>
  <si>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საბითუმო დაფინანება</t>
  </si>
  <si>
    <t>არარეზიდენტი</t>
  </si>
  <si>
    <t>რეზიდენტი</t>
  </si>
  <si>
    <t>ფიზიკური პირების გამოთხოვადი ან 1 წელზე ნაკლები ნარჩენი ვადიანობის გამოუთხოვადი დეპოზიტები</t>
  </si>
  <si>
    <t>1 წელზე მეტი ნარჩენი ვადიანობის გამოუთხოვადი ვალდებულებები</t>
  </si>
  <si>
    <t>კაპიტალი:</t>
  </si>
  <si>
    <t>&gt;= 1 წელი</t>
  </si>
  <si>
    <t>6 თვიდან  1 წლამდე</t>
  </si>
  <si>
    <t>&lt; 6 თვე</t>
  </si>
  <si>
    <t>უვადო*</t>
  </si>
  <si>
    <t>შეწონილი ღირებულება</t>
  </si>
  <si>
    <t>შეუწონავი ღირებულება ნარჩენი ვადიანობის მიხედვით</t>
  </si>
  <si>
    <t>ცხრილი 16</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</si>
  <si>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</si>
  <si>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</si>
  <si>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&gt; 5 წელი</t>
  </si>
  <si>
    <t xml:space="preserve">&gt; 1 წელი ≤ 5 წელი </t>
  </si>
  <si>
    <t>≤ 1 წელი</t>
  </si>
  <si>
    <t xml:space="preserve">მოთხოვნამდე </t>
  </si>
  <si>
    <t>საბალანსო აქტივების რისკის პოზიციის ღირებულება</t>
  </si>
  <si>
    <t xml:space="preserve">                                                                                                       განაწილება  ნარჩენი ვადიანობის მიხედვით                                                                              რისკის კლასები</t>
  </si>
  <si>
    <t>ცხრილი 17</t>
  </si>
  <si>
    <t>მათ შორის: სავალო ფასიანი ქაღალდები</t>
  </si>
  <si>
    <t>მათ შორის: სესხები</t>
  </si>
  <si>
    <t>(ა+ბ-გ-დ)</t>
  </si>
  <si>
    <t>მათ შორის სესხები და სხვა აქტივები - გარდა უმოქმედოსი</t>
  </si>
  <si>
    <t>მათ შორის სესხები და სხვა აქტივები - უმოქმედო</t>
  </si>
  <si>
    <t>აქტივების წმინდა ღირებულება</t>
  </si>
  <si>
    <t>კუმულატიური ჩამოწერა ანგარიშგების პერიოდზე</t>
  </si>
  <si>
    <t>ზოგადი რეზერვი</t>
  </si>
  <si>
    <t>მოსალოდნელი საკრედიტო ზარალი</t>
  </si>
  <si>
    <t>მთლიანი ღირებულება</t>
  </si>
  <si>
    <t xml:space="preserve">                                                                             საბალანსო აქტივები                                                                                                         
                                                                                                                                                                                                                                                                                                            რისკის კლასები</t>
  </si>
  <si>
    <t>ვ</t>
  </si>
  <si>
    <t>ე</t>
  </si>
  <si>
    <t>დ</t>
  </si>
  <si>
    <t>გ</t>
  </si>
  <si>
    <t>ბ</t>
  </si>
  <si>
    <t>ა</t>
  </si>
  <si>
    <t>ცხრილი 18</t>
  </si>
  <si>
    <t xml:space="preserve">აქტივები, რომლებზეც არ არის აღრიცხული დაფარვის წყაროს სექტორი </t>
  </si>
  <si>
    <t>სოფლის მეურნეობის სექტორი</t>
  </si>
  <si>
    <t>სერვისი</t>
  </si>
  <si>
    <t>ტელეკომუნიკაცია</t>
  </si>
  <si>
    <t>ფარმაცევტიკა</t>
  </si>
  <si>
    <t>ჯანდაცვა</t>
  </si>
  <si>
    <t>ავტომობილების დილერები</t>
  </si>
  <si>
    <t>ენერგეტიკა</t>
  </si>
  <si>
    <t>ბენზინგასამართ სადგურებსა და ბენზინის იმპორტიორებზე გაცემული სესხები</t>
  </si>
  <si>
    <t>მძიმე მრეწველობა</t>
  </si>
  <si>
    <t>რესტორნები, ბარები, კაფეები და სწრაფი კვების ობიექტები</t>
  </si>
  <si>
    <t>სასტუმროები და ტურიზმი</t>
  </si>
  <si>
    <t>წარმოება (სხვა)</t>
  </si>
  <si>
    <t>ვაჭრობა (სხვა)</t>
  </si>
  <si>
    <t>ფეხსაცმლის, ტანსაცმლისა და ტექსტილის წარმოება და ვაჭრობა</t>
  </si>
  <si>
    <t>ხანგრძლივი მოხმარების სამომხმარებლო საქონლის წარმოება და ვაჭრობა</t>
  </si>
  <si>
    <t>სამომხმარებლო საქონლის წარმოება</t>
  </si>
  <si>
    <t>სამომხმარებლო საქონლით ვაჭრობა</t>
  </si>
  <si>
    <t>სამშენებლო მასალების მოპოვება, წარმოება და ვაჭრობა</t>
  </si>
  <si>
    <t>სამომხმარებლო სესხები</t>
  </si>
  <si>
    <t>სამშენებლო კომპანიები (არა დეველოპერები)</t>
  </si>
  <si>
    <t>უძრავი ქონების მენეჯმენტი</t>
  </si>
  <si>
    <t>იპოთეკური სესხები - დასრულებული საცხოვრებელი უძრავი ქონების შეძენა</t>
  </si>
  <si>
    <t>უძრავი ქონების დეველოპმენტი</t>
  </si>
  <si>
    <t>ლომბარდები</t>
  </si>
  <si>
    <t>საფინანსო ინსტიტუტები</t>
  </si>
  <si>
    <t>სახელმწიფო ორგანიზაციები</t>
  </si>
  <si>
    <t>მოსალოდენელი საკრედიტო ზარალი</t>
  </si>
  <si>
    <t xml:space="preserve">                                                                               საბალანსო აქტივები
                                                                                                                                                                                                             სექტორი დაფარვის წყაროს/კონტრაგენტის ტიპის მიხედვით</t>
  </si>
  <si>
    <t>ცხრილი 19</t>
  </si>
  <si>
    <t>აქტივების მოსალოდნელი საკრედიტო ზარალი საანგარიშგებო პერიოდის ბოლოსათვის</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</si>
  <si>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</si>
  <si>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ხარისხის გაუმჯობესების შედეგად</t>
  </si>
  <si>
    <t>აქტივების დაფარვის შედეგად</t>
  </si>
  <si>
    <t>აქტივების ჩამოწერის შედეგად</t>
  </si>
  <si>
    <t>მოსალოდნელი საკრედიტო ზარალის შემცირება</t>
  </si>
  <si>
    <t>არსებული აქტივების ხარისხის გაუარესების შედეგად</t>
  </si>
  <si>
    <t>ახალი აქტივების წარმოშობის შედეგად</t>
  </si>
  <si>
    <t>მოსალოდნელი საკრედიტო ზარალის ზრდა</t>
  </si>
  <si>
    <t>მოსალოდნელი საკრედიტო ზარალი საანგარიშგებო პერიოდის დასაწყისისათვის</t>
  </si>
  <si>
    <t>კორპორატიული ფასიანი ქაღალდები</t>
  </si>
  <si>
    <t>სესხები</t>
  </si>
  <si>
    <t>მოსალოდნელი საკრედიტო ზარალის ცვლილება სესხებზე და კორპორატიულ სავალო ფასიანი ქაღალდებზე</t>
  </si>
  <si>
    <t>ცხრილი 20</t>
  </si>
  <si>
    <t>ბალანსი პერიოდის ბოლოს</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</si>
  <si>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</si>
  <si>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</si>
  <si>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</si>
  <si>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</si>
  <si>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</si>
  <si>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</si>
  <si>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</si>
  <si>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</si>
  <si>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</si>
  <si>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ზრდა</t>
  </si>
  <si>
    <t>საწყისი ბალანსი</t>
  </si>
  <si>
    <t>უმოქმედო სესხების შემცირებასთან დაკავშირებული წმინდა კუმულატიური ამოღება</t>
  </si>
  <si>
    <t>უმოქმედო სესხების მთლიანი ღირებულება</t>
  </si>
  <si>
    <t>ცხრილი 21</t>
  </si>
  <si>
    <t>შინამეურნეობები</t>
  </si>
  <si>
    <t>არაფინანსური კორპორაციები</t>
  </si>
  <si>
    <t>სხვა ფინანსური კორპორაციები</t>
  </si>
  <si>
    <t>საკრედიტო ინსტიტუტები</t>
  </si>
  <si>
    <t>ცენტრალური მთავრობები</t>
  </si>
  <si>
    <t>ცენტრალური ბანკები</t>
  </si>
  <si>
    <t>გარესაბალანსო ვალდებულებები</t>
  </si>
  <si>
    <t>ვადაგადაცილება &gt; 5 წელზე</t>
  </si>
  <si>
    <r>
      <t xml:space="preserve">ვადაგადაცილება &gt; 2 წელზე  </t>
    </r>
    <r>
      <rPr>
        <sz val="9"/>
        <rFont val="Calibri"/>
        <family val="2"/>
      </rPr>
      <t>≤</t>
    </r>
    <r>
      <rPr>
        <sz val="9"/>
        <rFont val="Sylfaen"/>
        <family val="1"/>
      </rPr>
      <t xml:space="preserve"> 5 წელზე</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</si>
  <si>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</si>
  <si>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</si>
  <si>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</si>
  <si>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</si>
  <si>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 30 დღეზე</t>
  </si>
  <si>
    <t>ვადაგადაცილება &gt; 90 დღეზე</t>
  </si>
  <si>
    <t>შეძენილი ან გამოშვებული გაუფასურებული ფინანსური ინსტრუმნეტი (POCI)</t>
  </si>
  <si>
    <t>მე-3 დონის საკრედიტო რისკი</t>
  </si>
  <si>
    <t>მე-2 დონის საკრედიტო რისკი</t>
  </si>
  <si>
    <t>1-ი დონის საკრედიტო რისკი</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</si>
  <si>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</si>
  <si>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</si>
  <si>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&gt;90</t>
  </si>
  <si>
    <t>&lt;90</t>
  </si>
  <si>
    <t>&lt;=30</t>
  </si>
  <si>
    <t>ცხრილი 22</t>
  </si>
  <si>
    <t>ბანკის ან/და საფინანსო ინსტიტუტის გარანტიით უზრუნველყოფილი სესხები</t>
  </si>
  <si>
    <t>სახელმწიფოს, სახელმწიფო დაწესებულების გარანტიით უზრუნველყოფილი სესხები</t>
  </si>
  <si>
    <t>უზრუნველყოფის ღირებულება (უძრავი ქონება) -   სესხის მთლიანი ღირებულების ზემოთ</t>
  </si>
  <si>
    <t>1.3.2.1</t>
  </si>
  <si>
    <t>უზრუნველყოფის ღირებულება -  სესხის მთლიანი ღირებულების ზემოთ</t>
  </si>
  <si>
    <t>1.3.2</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</si>
  <si>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</si>
  <si>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</si>
  <si>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</si>
  <si>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t>
  </si>
  <si>
    <t>დაგირავებული უზრუნველყოფა</t>
  </si>
  <si>
    <t>მოსალოდნელი საკრედიტო ზარალი უზრუნველყოფილ სესხებზე</t>
  </si>
  <si>
    <t>LTV &gt;100%</t>
  </si>
  <si>
    <t>1.1.1.4</t>
  </si>
  <si>
    <t>LTV &gt;85% ≤100%</t>
  </si>
  <si>
    <t>1.1.1.3</t>
  </si>
  <si>
    <t>LTV &gt;70% ≤85%</t>
  </si>
  <si>
    <t>1.1.1.2</t>
  </si>
  <si>
    <t>LTV ≤70%</t>
  </si>
  <si>
    <t>1.1.1.1</t>
  </si>
  <si>
    <t>უძრავი ქონებით უზრუნველყოფილი სესხები</t>
  </si>
  <si>
    <t>უზრუნველყოფილი სესხები</t>
  </si>
  <si>
    <t>ვადაგადაცილება &gt; 2 წელზე  ≤ 5 წელზე</t>
  </si>
  <si>
    <t>ვადაგადაცილება &gt; 1 წელზე  ≤ 2 წელზე</t>
  </si>
  <si>
    <t xml:space="preserve">ვადაგადაცილება &gt; 180 დღეზე  ≤ 1 წელზე </t>
  </si>
  <si>
    <t xml:space="preserve">ვადაგადაცილება &gt; 90 დღეზე  ≤ 180 დღეზე </t>
  </si>
  <si>
    <t xml:space="preserve">ვადაგადაცილება &gt; 30 დღეზე  ≤ 90 დღეზე </t>
  </si>
  <si>
    <t>სესხების მთლიანი ღირებულება</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</si>
  <si>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</si>
  <si>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ცხრილი 23</t>
  </si>
  <si>
    <t xml:space="preserve">სესხები, რომლებზეც არ არის აღრიცხული დაფარვის წყაროს სექტორი </t>
  </si>
  <si>
    <t>მოსლაოდნელი საკრედიტო ზარალი</t>
  </si>
  <si>
    <t xml:space="preserve">                                                                                                     სესხები
                                                                                                                                                                                                             სექტორი დაფარვის წყაროს მიხედვით</t>
  </si>
  <si>
    <t>ცხრილი 24</t>
  </si>
  <si>
    <t>მათ შორის:  უმოქმედო გარესაბალანსო ვალდებულებები</t>
  </si>
  <si>
    <t>მათ შორის:  უმოქმედო კორპორატიული სავალო ფასიანი ქაღალდები</t>
  </si>
  <si>
    <t>მათ შორის:  უმოქმედო სესხები</t>
  </si>
  <si>
    <t>კორპორატიული სავალო ფასიანი ქაღალდები</t>
  </si>
  <si>
    <t xml:space="preserve">სესხები </t>
  </si>
  <si>
    <t>არაუზრუნველყოფილი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</si>
  <si>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</si>
  <si>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სხვა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</si>
  <si>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</si>
  <si>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უძრავი ქონებით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</si>
  <si>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</si>
  <si>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</si>
  <si>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</si>
  <si>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დეპოზიტით უზრუნველყოფილი ვალდებულებების  ღირებულება</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</si>
  <si>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</si>
  <si>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ი</t>
  </si>
  <si>
    <t>თ</t>
  </si>
  <si>
    <t>ზ</t>
  </si>
  <si>
    <t>ცხრილი 25</t>
  </si>
  <si>
    <t>მათ შორის: პენსიის ან სხვა სახელმწიფო სოციალური გასაცემელის გათვალისწინებით გაცემული სესხები</t>
  </si>
  <si>
    <t>სულ საცალო პროდუქტები</t>
  </si>
  <si>
    <t>სტუდენტური სესხები</t>
  </si>
  <si>
    <t>საცალო ლომბარდული სესხები</t>
  </si>
  <si>
    <t>იპოთეკური სესხები - კომერციული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</si>
  <si>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</si>
  <si>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საცხოვრებელი უძრავი ქონების რემონტისათვის</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</si>
  <si>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</si>
  <si>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</si>
  <si>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დასრულებული უძრავი ქონების შეძენა</t>
  </si>
  <si>
    <t>იპოთეკური სესხები</t>
  </si>
  <si>
    <t>საკრედიტო ბარათები</t>
  </si>
  <si>
    <t>ოვერდრაფტები</t>
  </si>
  <si>
    <t>მომენტალური განვადება</t>
  </si>
  <si>
    <t>სწრაფი სესხები (Pay Day Loans)</t>
  </si>
  <si>
    <t>სატრანსპორტო სესხები</t>
  </si>
  <si>
    <t>სესხების საშუალო შეწონილი ვადიანობა სესხის ნაშთზე დარჩენილი ვადის მიხედვით (თვეებში)</t>
  </si>
  <si>
    <t>საშუალო შეწონილი ნომინალური საპროცენტო განაკვეთი სესხის ნაშთზე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</si>
  <si>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</si>
  <si>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</si>
  <si>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 xml:space="preserve">სესხების რაოდენობა </t>
  </si>
  <si>
    <t>სესხების ძირი თანხა</t>
  </si>
  <si>
    <t>საცალო პროდუქტები</t>
  </si>
  <si>
    <t>ცხრილი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</si>
</sst>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_ ;[Red]\-#,##0\ "/>
    <numFmt numFmtId="167" formatCode="[$-409]mmm\-yy;@"/>
    <numFmt numFmtId="168" formatCode="_(* #,##0.0_);_(* \(#,##0.0\);_(* &quot;-&quot;??_);_(@_)"/>
    <numFmt numFmtId="169" formatCode="_(#,##0_);_(\(#,##0\);_(\ \-\ _);_(@_)"/>
    <numFmt numFmtId="170" formatCode="_-* #,##0.00_-;\-* #,##0.00_-;_-* &quot;-&quot;??_-;_-@_-"/>
  </numFmts>
  <fonts count="7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color theme="1"/>
      <name val="Aptos Narrow"/>
      <family val="2"/>
      <scheme val="minor"/>
    </font>
    <font>
      <u/>
      <sz val="10"/>
      <color indexed="12"/>
      <name val="Arial"/>
      <family val="2"/>
    </font>
    <font>
      <sz val="10"/>
      <color theme="1"/>
      <name val="Aptos Narrow"/>
      <family val="1"/>
      <scheme val="minor"/>
    </font>
    <font>
      <sz val="10"/>
      <name val="Arial"/>
      <family val="2"/>
    </font>
    <font>
      <b/>
      <sz val="11"/>
      <name val="Sylfaen"/>
      <family val="1"/>
    </font>
    <font>
      <sz val="10"/>
      <name val="Aptos Narrow"/>
      <family val="2"/>
      <scheme val="minor"/>
    </font>
    <font>
      <b/>
      <i/>
      <sz val="10"/>
      <color theme="1"/>
      <name val="Sylfaen"/>
      <family val="1"/>
    </font>
    <font>
      <sz val="10"/>
      <name val="Sylfaen"/>
      <family val="1"/>
    </font>
    <font>
      <sz val="11"/>
      <color theme="1"/>
      <name val="Sylfaen"/>
      <family val="1"/>
    </font>
    <font>
      <sz val="10"/>
      <color theme="1"/>
      <name val="Sylfaen"/>
      <family val="1"/>
    </font>
    <font>
      <sz val="10"/>
      <color rgb="FFFF0000"/>
      <name val="Aptos Narrow"/>
      <family val="2"/>
      <scheme val="minor"/>
    </font>
    <font>
      <sz val="10"/>
      <color rgb="FF333333"/>
      <name val="Sylfaen"/>
      <family val="1"/>
    </font>
    <font>
      <sz val="10"/>
      <name val="MS Sans Serif"/>
      <family val="2"/>
    </font>
    <font>
      <b/>
      <sz val="10"/>
      <name val="Aptos Narrow"/>
      <family val="2"/>
      <scheme val="minor"/>
    </font>
    <font>
      <b/>
      <i/>
      <sz val="10"/>
      <name val="Aptos Narrow"/>
      <family val="2"/>
      <scheme val="minor"/>
    </font>
    <font>
      <b/>
      <i/>
      <sz val="11"/>
      <color theme="1"/>
      <name val="Aptos Narrow"/>
      <family val="2"/>
      <scheme val="minor"/>
    </font>
    <font>
      <b/>
      <i/>
      <sz val="10"/>
      <color theme="1"/>
      <name val="Aptos Narrow"/>
      <family val="2"/>
      <scheme val="minor"/>
    </font>
    <font>
      <b/>
      <sz val="10"/>
      <name val="Sylfaen"/>
      <family val="1"/>
    </font>
    <font>
      <b/>
      <sz val="8"/>
      <color indexed="8"/>
      <name val="Verdana"/>
      <family val="2"/>
    </font>
    <font>
      <b/>
      <sz val="8"/>
      <color rgb="FF000000"/>
      <name val="Verdana"/>
      <family val="2"/>
    </font>
    <font>
      <sz val="8"/>
      <color indexed="8"/>
      <name val="Verdana"/>
      <family val="2"/>
    </font>
    <font>
      <sz val="8"/>
      <name val="Verdana"/>
      <family val="2"/>
    </font>
    <font>
      <b/>
      <sz val="11"/>
      <color indexed="8"/>
      <name val="Aptos Narrow"/>
      <family val="2"/>
      <scheme val="minor"/>
    </font>
    <font>
      <b/>
      <sz val="8"/>
      <name val="Verdana"/>
      <family val="2"/>
    </font>
    <font>
      <b/>
      <sz val="12"/>
      <color theme="1"/>
      <name val="Aptos Narrow"/>
      <family val="2"/>
      <scheme val="minor"/>
    </font>
    <font>
      <b/>
      <sz val="11"/>
      <color rgb="FFFF0000"/>
      <name val="Aptos Narrow"/>
      <family val="2"/>
      <scheme val="minor"/>
    </font>
    <font>
      <sz val="11"/>
      <name val="Aptos Narrow"/>
      <family val="2"/>
      <charset val="204"/>
      <scheme val="minor"/>
    </font>
    <font>
      <i/>
      <sz val="11"/>
      <name val="Aptos Narrow"/>
      <family val="2"/>
      <charset val="204"/>
      <scheme val="minor"/>
    </font>
    <font>
      <i/>
      <sz val="11"/>
      <name val="Aptos Narrow"/>
      <family val="2"/>
      <scheme val="minor"/>
    </font>
    <font>
      <sz val="8"/>
      <color theme="1"/>
      <name val="Aptos Narrow"/>
      <family val="2"/>
      <scheme val="minor"/>
    </font>
    <font>
      <sz val="10"/>
      <color theme="1"/>
      <name val="Times New Roman"/>
      <family val="1"/>
    </font>
    <font>
      <b/>
      <sz val="10"/>
      <color theme="1"/>
      <name val="Aptos Narrow"/>
      <family val="2"/>
      <scheme val="minor"/>
    </font>
    <font>
      <sz val="10"/>
      <color theme="1"/>
      <name val="Segoe UI"/>
      <family val="2"/>
    </font>
    <font>
      <sz val="10"/>
      <name val="Arial"/>
      <family val="2"/>
      <charset val="204"/>
    </font>
    <font>
      <i/>
      <sz val="10"/>
      <name val="Sylfaen"/>
      <family val="1"/>
    </font>
    <font>
      <sz val="10"/>
      <name val="Geo_Arial"/>
      <family val="2"/>
    </font>
    <font>
      <sz val="10"/>
      <color rgb="FFFF0000"/>
      <name val="Sylfaen"/>
      <family val="1"/>
    </font>
    <font>
      <b/>
      <sz val="10"/>
      <color rgb="FFFF0000"/>
      <name val="Aptos Narrow"/>
      <family val="2"/>
      <scheme val="minor"/>
    </font>
    <font>
      <sz val="10"/>
      <name val="Aptos Narrow"/>
      <family val="1"/>
      <scheme val="minor"/>
    </font>
    <font>
      <b/>
      <sz val="10"/>
      <name val="Aptos Narrow"/>
      <family val="1"/>
      <scheme val="minor"/>
    </font>
    <font>
      <b/>
      <sz val="10"/>
      <color rgb="FFFF0000"/>
      <name val="Sylfaen"/>
      <family val="1"/>
    </font>
    <font>
      <b/>
      <sz val="10"/>
      <color theme="1"/>
      <name val="Sylfaen"/>
      <family val="1"/>
    </font>
    <font>
      <i/>
      <sz val="10"/>
      <color theme="1"/>
      <name val="Sylfaen"/>
      <family val="1"/>
    </font>
    <font>
      <i/>
      <sz val="11"/>
      <color theme="1"/>
      <name val="Aptos Narrow"/>
      <family val="2"/>
      <scheme val="minor"/>
    </font>
    <font>
      <sz val="10"/>
      <name val="SPKolheti"/>
      <family val="1"/>
    </font>
    <font>
      <sz val="9"/>
      <color theme="1"/>
      <name val="Aptos Narrow"/>
      <family val="2"/>
      <scheme val="minor"/>
    </font>
    <font>
      <i/>
      <sz val="10"/>
      <color theme="1"/>
      <name val="Aptos Narrow"/>
      <family val="2"/>
      <scheme val="minor"/>
    </font>
    <font>
      <sz val="9"/>
      <name val="Arial"/>
      <family val="2"/>
    </font>
    <font>
      <sz val="8"/>
      <name val="Arial"/>
      <family val="2"/>
    </font>
    <font>
      <sz val="9"/>
      <name val="Calibri"/>
      <family val="2"/>
    </font>
    <font>
      <b/>
      <sz val="10"/>
      <name val="Arial"/>
      <family val="2"/>
    </font>
    <font>
      <b/>
      <sz val="9"/>
      <name val="Arial"/>
      <family val="2"/>
    </font>
    <font>
      <b/>
      <sz val="9"/>
      <name val="Calibri"/>
      <family val="2"/>
    </font>
    <font>
      <sz val="11"/>
      <color indexed="8"/>
      <name val="Calibri"/>
      <family val="2"/>
    </font>
    <font>
      <sz val="9"/>
      <color theme="1"/>
      <name val="Sylfaen"/>
      <family val="1"/>
    </font>
    <font>
      <b/>
      <sz val="9"/>
      <color rgb="FFFF0000"/>
      <name val="Sylfaen"/>
      <family val="1"/>
    </font>
    <font>
      <sz val="9"/>
      <color rgb="FFFF0000"/>
      <name val="Sylfaen"/>
      <family val="1"/>
    </font>
    <font>
      <b/>
      <sz val="9"/>
      <color theme="1"/>
      <name val="Sylfaen"/>
      <family val="1"/>
    </font>
    <font>
      <b/>
      <sz val="9"/>
      <name val="Aptos Narrow"/>
      <family val="1"/>
      <scheme val="minor"/>
    </font>
    <font>
      <sz val="9"/>
      <name val="Aptos Narrow"/>
      <family val="1"/>
      <scheme val="minor"/>
    </font>
    <font>
      <i/>
      <sz val="9"/>
      <name val="Aptos Narrow"/>
      <family val="1"/>
      <scheme val="minor"/>
    </font>
    <font>
      <b/>
      <sz val="9"/>
      <name val="Sylfaen"/>
      <family val="1"/>
    </font>
    <font>
      <b/>
      <u/>
      <sz val="9"/>
      <name val="Sylfaen"/>
      <family val="1"/>
    </font>
    <font>
      <sz val="9"/>
      <name val="Sylfaen"/>
      <family val="1"/>
    </font>
    <font>
      <sz val="10"/>
      <color rgb="FF000000"/>
      <name val="Aptos Narrow"/>
      <family val="2"/>
      <scheme val="minor"/>
    </font>
    <font>
      <b/>
      <u/>
      <sz val="9"/>
      <color theme="1"/>
      <name val="Sylfaen"/>
      <family val="1"/>
    </font>
    <font>
      <sz val="9"/>
      <color theme="1"/>
      <name val="Aptos Narrow"/>
      <family val="1"/>
      <scheme val="minor"/>
    </font>
    <font>
      <sz val="9"/>
      <color rgb="FFFF0000"/>
      <name val="Aptos Narrow"/>
      <family val="1"/>
      <scheme val="minor"/>
    </font>
    <font>
      <b/>
      <sz val="8"/>
      <name val="Sylfaen"/>
      <family val="1"/>
    </font>
    <font>
      <sz val="1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lightGray">
        <fgColor indexed="22"/>
      </patternFill>
    </fill>
    <fill>
      <patternFill patternType="lightGray">
        <fgColor indexed="22"/>
        <bgColor theme="0" tint="-4.9989318521683403E-2"/>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5F5F5F"/>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499984740745262"/>
        <bgColor indexed="64"/>
      </patternFill>
    </fill>
  </fills>
  <borders count="92">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style="thin">
        <color auto="1"/>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auto="1"/>
      </bottom>
      <diagonal/>
    </border>
    <border>
      <left style="thin">
        <color theme="6" tint="-0.499984740745262"/>
      </left>
      <right style="medium">
        <color indexed="64"/>
      </right>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indexed="64"/>
      </top>
      <bottom style="thin">
        <color indexed="64"/>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indexed="64"/>
      </top>
      <bottom style="thin">
        <color theme="6" tint="-0.499984740745262"/>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medium">
        <color indexed="64"/>
      </right>
      <top style="medium">
        <color auto="1"/>
      </top>
      <bottom style="medium">
        <color indexed="64"/>
      </bottom>
      <diagonal/>
    </border>
    <border>
      <left style="thin">
        <color auto="1"/>
      </left>
      <right/>
      <top style="medium">
        <color auto="1"/>
      </top>
      <bottom style="medium">
        <color auto="1"/>
      </bottom>
      <diagonal/>
    </border>
    <border>
      <left style="medium">
        <color indexed="64"/>
      </left>
      <right style="thin">
        <color auto="1"/>
      </right>
      <top style="medium">
        <color auto="1"/>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right style="thin">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bottom/>
      <diagonal/>
    </border>
    <border>
      <left style="medium">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xf numFmtId="167" fontId="16" fillId="4" borderId="0"/>
    <xf numFmtId="0" fontId="7" fillId="0" borderId="0"/>
    <xf numFmtId="0" fontId="7" fillId="0" borderId="0"/>
    <xf numFmtId="0" fontId="37" fillId="0" borderId="0"/>
    <xf numFmtId="43" fontId="1" fillId="0" borderId="0" applyFont="0" applyFill="0" applyBorder="0" applyAlignment="0" applyProtection="0"/>
    <xf numFmtId="0" fontId="1" fillId="0" borderId="0"/>
    <xf numFmtId="0" fontId="37" fillId="0" borderId="0"/>
    <xf numFmtId="0" fontId="7" fillId="0" borderId="0"/>
    <xf numFmtId="0" fontId="1"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alignment vertical="center"/>
    </xf>
    <xf numFmtId="0" fontId="7" fillId="0" borderId="0"/>
    <xf numFmtId="43" fontId="57" fillId="0" borderId="0" applyFont="0" applyFill="0" applyBorder="0" applyAlignment="0" applyProtection="0"/>
    <xf numFmtId="170" fontId="1" fillId="0" borderId="0" applyFont="0" applyFill="0" applyBorder="0" applyAlignment="0" applyProtection="0"/>
  </cellStyleXfs>
  <cellXfs count="894">
    <xf numFmtId="0" fontId="0" fillId="0" borderId="0" xfId="0"/>
    <xf numFmtId="0" fontId="4" fillId="0" borderId="0" xfId="0" applyFont="1"/>
    <xf numFmtId="0" fontId="5" fillId="0" borderId="1" xfId="3" applyFill="1" applyBorder="1" applyAlignment="1" applyProtection="1"/>
    <xf numFmtId="0" fontId="4" fillId="0" borderId="1" xfId="0" applyFont="1" applyBorder="1"/>
    <xf numFmtId="0" fontId="5" fillId="0" borderId="1" xfId="3" applyFill="1" applyBorder="1" applyAlignment="1" applyProtection="1">
      <alignment horizontal="left" vertical="top" wrapText="1"/>
    </xf>
    <xf numFmtId="0" fontId="5" fillId="0" borderId="1" xfId="3" applyFill="1" applyBorder="1" applyAlignment="1" applyProtection="1">
      <alignment vertical="top" wrapText="1"/>
    </xf>
    <xf numFmtId="0" fontId="5" fillId="0" borderId="1" xfId="3" applyFill="1" applyBorder="1" applyAlignment="1" applyProtection="1">
      <alignment horizontal="left" vertical="center"/>
    </xf>
    <xf numFmtId="0" fontId="5" fillId="0" borderId="1" xfId="3" applyFill="1" applyBorder="1" applyAlignment="1" applyProtection="1">
      <alignment horizontal="left" vertical="center" wrapText="1"/>
    </xf>
    <xf numFmtId="49" fontId="6" fillId="0" borderId="1" xfId="0" applyNumberFormat="1" applyFont="1" applyBorder="1" applyAlignment="1">
      <alignment horizontal="right" vertical="center" wrapText="1"/>
    </xf>
    <xf numFmtId="0" fontId="8" fillId="0" borderId="1" xfId="4" applyFont="1" applyBorder="1" applyAlignment="1">
      <alignment horizontal="center" vertical="center"/>
    </xf>
    <xf numFmtId="0" fontId="9" fillId="2" borderId="1" xfId="4" applyFont="1" applyFill="1" applyBorder="1"/>
    <xf numFmtId="0" fontId="10" fillId="0" borderId="0" xfId="0" applyFont="1" applyAlignment="1">
      <alignment wrapText="1"/>
    </xf>
    <xf numFmtId="0" fontId="1" fillId="0" borderId="0" xfId="0" applyFont="1"/>
    <xf numFmtId="0" fontId="5" fillId="0" borderId="1" xfId="3" applyBorder="1" applyAlignment="1" applyProtection="1"/>
    <xf numFmtId="0" fontId="11" fillId="0" borderId="4" xfId="4" applyFont="1" applyBorder="1" applyAlignment="1">
      <alignment horizontal="left" wrapText="1" indent="1"/>
    </xf>
    <xf numFmtId="0" fontId="9" fillId="2" borderId="4" xfId="4" applyFont="1" applyFill="1" applyBorder="1" applyAlignment="1">
      <alignment horizontal="right" indent="1"/>
    </xf>
    <xf numFmtId="0" fontId="12" fillId="0" borderId="1" xfId="0" applyFont="1" applyBorder="1"/>
    <xf numFmtId="0" fontId="11" fillId="0" borderId="1" xfId="4" applyFont="1" applyBorder="1" applyAlignment="1">
      <alignment horizontal="left" wrapText="1" indent="1"/>
    </xf>
    <xf numFmtId="0" fontId="9" fillId="2" borderId="1" xfId="4" applyFont="1" applyFill="1" applyBorder="1" applyAlignment="1">
      <alignment horizontal="right" indent="1"/>
    </xf>
    <xf numFmtId="0" fontId="11" fillId="2" borderId="1" xfId="4" applyFont="1" applyFill="1" applyBorder="1" applyAlignment="1">
      <alignment horizontal="left" wrapText="1" indent="1"/>
    </xf>
    <xf numFmtId="0" fontId="13" fillId="0" borderId="1" xfId="0" applyFont="1" applyBorder="1"/>
    <xf numFmtId="0" fontId="9" fillId="0" borderId="0" xfId="0" applyFont="1"/>
    <xf numFmtId="0" fontId="11" fillId="0" borderId="0" xfId="0" applyFont="1"/>
    <xf numFmtId="0" fontId="9" fillId="0" borderId="0" xfId="0" applyFont="1" applyAlignment="1">
      <alignment wrapText="1"/>
    </xf>
    <xf numFmtId="0" fontId="4" fillId="0" borderId="0" xfId="0" applyFont="1" applyAlignment="1">
      <alignment wrapText="1"/>
    </xf>
    <xf numFmtId="164" fontId="14" fillId="0" borderId="0" xfId="1" applyNumberFormat="1" applyFont="1"/>
    <xf numFmtId="0" fontId="11" fillId="0" borderId="0" xfId="0" applyFont="1" applyAlignment="1">
      <alignment horizontal="right"/>
    </xf>
    <xf numFmtId="164" fontId="0" fillId="0" borderId="0" xfId="1" applyNumberFormat="1" applyFont="1"/>
    <xf numFmtId="9" fontId="15" fillId="3" borderId="5" xfId="2" applyFont="1" applyFill="1" applyBorder="1" applyAlignment="1" applyProtection="1">
      <alignment vertical="center"/>
      <protection locked="0"/>
    </xf>
    <xf numFmtId="9" fontId="15" fillId="3" borderId="6" xfId="2" applyFont="1" applyFill="1" applyBorder="1" applyAlignment="1" applyProtection="1">
      <alignment vertical="center"/>
      <protection locked="0"/>
    </xf>
    <xf numFmtId="9" fontId="15" fillId="3" borderId="7" xfId="2" applyFont="1" applyFill="1" applyBorder="1" applyAlignment="1" applyProtection="1">
      <alignment vertical="center"/>
      <protection locked="0"/>
    </xf>
    <xf numFmtId="9" fontId="15" fillId="0" borderId="5" xfId="2" applyFont="1" applyFill="1" applyBorder="1" applyAlignment="1" applyProtection="1">
      <alignment vertical="center"/>
      <protection locked="0"/>
    </xf>
    <xf numFmtId="9" fontId="15" fillId="0" borderId="6" xfId="2" applyFont="1" applyFill="1" applyBorder="1" applyAlignment="1" applyProtection="1">
      <alignment vertical="center"/>
      <protection locked="0"/>
    </xf>
    <xf numFmtId="165" fontId="15" fillId="0" borderId="6" xfId="2" applyNumberFormat="1" applyFont="1" applyFill="1" applyBorder="1" applyAlignment="1" applyProtection="1">
      <alignment vertical="center"/>
      <protection locked="0"/>
    </xf>
    <xf numFmtId="165" fontId="11" fillId="0" borderId="6" xfId="2" applyNumberFormat="1" applyFont="1" applyFill="1" applyBorder="1" applyAlignment="1" applyProtection="1">
      <alignment vertical="center"/>
      <protection locked="0"/>
    </xf>
    <xf numFmtId="166" fontId="11" fillId="3" borderId="6" xfId="0" applyNumberFormat="1" applyFont="1" applyFill="1" applyBorder="1" applyAlignment="1" applyProtection="1">
      <alignment vertical="center"/>
      <protection locked="0"/>
    </xf>
    <xf numFmtId="0" fontId="11" fillId="3" borderId="7" xfId="0" applyFont="1" applyFill="1" applyBorder="1" applyAlignment="1">
      <alignment horizontal="right" vertical="center"/>
    </xf>
    <xf numFmtId="166" fontId="15" fillId="3" borderId="8" xfId="0" applyNumberFormat="1" applyFont="1" applyFill="1" applyBorder="1" applyAlignment="1" applyProtection="1">
      <alignment vertical="center"/>
      <protection locked="0"/>
    </xf>
    <xf numFmtId="166" fontId="15" fillId="3" borderId="4" xfId="0" applyNumberFormat="1" applyFont="1" applyFill="1" applyBorder="1" applyAlignment="1" applyProtection="1">
      <alignment vertical="center"/>
      <protection locked="0"/>
    </xf>
    <xf numFmtId="166" fontId="15" fillId="3" borderId="9" xfId="0" applyNumberFormat="1" applyFont="1" applyFill="1" applyBorder="1" applyAlignment="1" applyProtection="1">
      <alignment vertical="center"/>
      <protection locked="0"/>
    </xf>
    <xf numFmtId="166" fontId="15" fillId="0" borderId="8" xfId="0" applyNumberFormat="1" applyFont="1" applyBorder="1" applyAlignment="1" applyProtection="1">
      <alignment vertical="center"/>
      <protection locked="0"/>
    </xf>
    <xf numFmtId="166" fontId="15" fillId="0" borderId="4" xfId="0" applyNumberFormat="1" applyFont="1" applyBorder="1" applyAlignment="1" applyProtection="1">
      <alignment vertical="center"/>
      <protection locked="0"/>
    </xf>
    <xf numFmtId="166" fontId="9" fillId="0" borderId="1" xfId="0" applyNumberFormat="1" applyFont="1" applyBorder="1" applyAlignment="1" applyProtection="1">
      <alignment vertical="center" wrapText="1"/>
      <protection locked="0"/>
    </xf>
    <xf numFmtId="0" fontId="11" fillId="3" borderId="4" xfId="0" applyFont="1" applyFill="1" applyBorder="1" applyAlignment="1">
      <alignment vertical="center"/>
    </xf>
    <xf numFmtId="0" fontId="11" fillId="3" borderId="9" xfId="0" applyFont="1" applyFill="1" applyBorder="1" applyAlignment="1">
      <alignment horizontal="right" vertical="center"/>
    </xf>
    <xf numFmtId="167" fontId="16" fillId="5" borderId="10" xfId="5" applyFill="1" applyBorder="1"/>
    <xf numFmtId="167" fontId="16" fillId="5" borderId="11" xfId="5" applyFill="1" applyBorder="1"/>
    <xf numFmtId="167" fontId="16" fillId="5" borderId="13" xfId="5" applyFill="1" applyBorder="1"/>
    <xf numFmtId="0" fontId="17" fillId="0" borderId="1" xfId="0" applyFont="1" applyBorder="1" applyAlignment="1">
      <alignment horizontal="center" vertical="center" wrapText="1"/>
    </xf>
    <xf numFmtId="9" fontId="11" fillId="3" borderId="14" xfId="2" applyFont="1" applyFill="1" applyBorder="1" applyAlignment="1" applyProtection="1">
      <alignment vertical="center"/>
      <protection locked="0"/>
    </xf>
    <xf numFmtId="9" fontId="11" fillId="3" borderId="1" xfId="2" applyFont="1" applyFill="1" applyBorder="1" applyAlignment="1" applyProtection="1">
      <alignment vertical="center"/>
      <protection locked="0"/>
    </xf>
    <xf numFmtId="9" fontId="11" fillId="3" borderId="15" xfId="2" applyFont="1" applyFill="1" applyBorder="1" applyAlignment="1" applyProtection="1">
      <alignment vertical="center"/>
      <protection locked="0"/>
    </xf>
    <xf numFmtId="9" fontId="11" fillId="0" borderId="14" xfId="2" applyFont="1" applyFill="1" applyBorder="1" applyAlignment="1" applyProtection="1">
      <alignment vertical="center"/>
      <protection locked="0"/>
    </xf>
    <xf numFmtId="165" fontId="11" fillId="0" borderId="1" xfId="2" applyNumberFormat="1" applyFont="1" applyFill="1" applyBorder="1" applyAlignment="1" applyProtection="1">
      <alignment vertical="center"/>
      <protection locked="0"/>
    </xf>
    <xf numFmtId="166" fontId="15" fillId="3" borderId="14" xfId="0" applyNumberFormat="1" applyFont="1" applyFill="1" applyBorder="1" applyAlignment="1" applyProtection="1">
      <alignment vertical="center"/>
      <protection locked="0"/>
    </xf>
    <xf numFmtId="166" fontId="15" fillId="3" borderId="1" xfId="0" applyNumberFormat="1" applyFont="1" applyFill="1" applyBorder="1" applyAlignment="1" applyProtection="1">
      <alignment vertical="center"/>
      <protection locked="0"/>
    </xf>
    <xf numFmtId="166" fontId="15" fillId="3" borderId="15" xfId="0" applyNumberFormat="1" applyFont="1" applyFill="1" applyBorder="1" applyAlignment="1" applyProtection="1">
      <alignment vertical="center"/>
      <protection locked="0"/>
    </xf>
    <xf numFmtId="166" fontId="15" fillId="0" borderId="14" xfId="0" applyNumberFormat="1" applyFont="1" applyBorder="1" applyAlignment="1" applyProtection="1">
      <alignment vertical="center"/>
      <protection locked="0"/>
    </xf>
    <xf numFmtId="166" fontId="15" fillId="0" borderId="1" xfId="0" applyNumberFormat="1" applyFont="1" applyBorder="1" applyAlignment="1" applyProtection="1">
      <alignment vertical="center"/>
      <protection locked="0"/>
    </xf>
    <xf numFmtId="0" fontId="11" fillId="3" borderId="1" xfId="0" applyFont="1" applyFill="1" applyBorder="1" applyAlignment="1">
      <alignment vertical="center"/>
    </xf>
    <xf numFmtId="0" fontId="11" fillId="3" borderId="15" xfId="0" applyFont="1" applyFill="1" applyBorder="1" applyAlignment="1">
      <alignment horizontal="right" vertical="center"/>
    </xf>
    <xf numFmtId="166" fontId="11" fillId="3" borderId="14" xfId="0" applyNumberFormat="1" applyFont="1" applyFill="1" applyBorder="1" applyAlignment="1" applyProtection="1">
      <alignment vertical="center"/>
      <protection locked="0"/>
    </xf>
    <xf numFmtId="166" fontId="11" fillId="3" borderId="1" xfId="0" applyNumberFormat="1" applyFont="1" applyFill="1" applyBorder="1" applyAlignment="1" applyProtection="1">
      <alignment vertical="center"/>
      <protection locked="0"/>
    </xf>
    <xf numFmtId="166" fontId="11" fillId="3" borderId="15" xfId="0" applyNumberFormat="1" applyFont="1" applyFill="1" applyBorder="1" applyAlignment="1" applyProtection="1">
      <alignment vertical="center"/>
      <protection locked="0"/>
    </xf>
    <xf numFmtId="166" fontId="11" fillId="0" borderId="14" xfId="0" applyNumberFormat="1" applyFont="1" applyBorder="1" applyAlignment="1" applyProtection="1">
      <alignment vertical="center"/>
      <protection locked="0"/>
    </xf>
    <xf numFmtId="166" fontId="11" fillId="0" borderId="1" xfId="0" applyNumberFormat="1" applyFont="1" applyBorder="1" applyAlignment="1" applyProtection="1">
      <alignment vertical="center"/>
      <protection locked="0"/>
    </xf>
    <xf numFmtId="0" fontId="11" fillId="0" borderId="1" xfId="0" applyFont="1" applyBorder="1" applyAlignment="1">
      <alignment horizontal="left" vertical="center" wrapText="1"/>
    </xf>
    <xf numFmtId="0" fontId="17" fillId="0" borderId="15" xfId="0" applyFont="1" applyBorder="1" applyAlignment="1">
      <alignment horizontal="center" vertical="center" wrapText="1"/>
    </xf>
    <xf numFmtId="9" fontId="11" fillId="0" borderId="1" xfId="2" applyFont="1" applyFill="1" applyBorder="1" applyAlignment="1" applyProtection="1">
      <alignment vertical="center"/>
      <protection locked="0"/>
    </xf>
    <xf numFmtId="9" fontId="16" fillId="5" borderId="10" xfId="5" applyNumberFormat="1" applyFill="1" applyBorder="1"/>
    <xf numFmtId="9" fontId="16" fillId="5" borderId="11" xfId="5" applyNumberFormat="1" applyFill="1" applyBorder="1"/>
    <xf numFmtId="9" fontId="16" fillId="5" borderId="13" xfId="5" applyNumberFormat="1" applyFill="1" applyBorder="1"/>
    <xf numFmtId="0" fontId="11" fillId="0" borderId="15" xfId="0" applyFont="1" applyBorder="1" applyAlignment="1">
      <alignment horizontal="center" vertical="center" wrapText="1"/>
    </xf>
    <xf numFmtId="10" fontId="15" fillId="3" borderId="14" xfId="2" applyNumberFormat="1" applyFont="1" applyFill="1" applyBorder="1" applyAlignment="1" applyProtection="1">
      <alignment vertical="center"/>
      <protection locked="0"/>
    </xf>
    <xf numFmtId="9" fontId="15" fillId="3" borderId="1" xfId="2" applyFont="1" applyFill="1" applyBorder="1" applyAlignment="1" applyProtection="1">
      <alignment vertical="center"/>
      <protection locked="0"/>
    </xf>
    <xf numFmtId="9" fontId="15" fillId="3" borderId="15" xfId="2" applyFont="1" applyFill="1" applyBorder="1" applyAlignment="1" applyProtection="1">
      <alignment vertical="center"/>
      <protection locked="0"/>
    </xf>
    <xf numFmtId="9" fontId="15" fillId="3" borderId="14" xfId="2" applyFont="1" applyFill="1" applyBorder="1" applyAlignment="1" applyProtection="1">
      <alignment vertical="center"/>
      <protection locked="0"/>
    </xf>
    <xf numFmtId="9" fontId="15" fillId="0" borderId="1" xfId="2" applyFont="1" applyFill="1" applyBorder="1" applyAlignment="1" applyProtection="1">
      <alignment vertical="center"/>
      <protection locked="0"/>
    </xf>
    <xf numFmtId="165" fontId="0" fillId="0" borderId="0" xfId="2" applyNumberFormat="1" applyFont="1"/>
    <xf numFmtId="10" fontId="4" fillId="0" borderId="14"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5"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10" fontId="4" fillId="0" borderId="1" xfId="2" applyNumberFormat="1" applyFont="1" applyFill="1" applyBorder="1" applyAlignment="1" applyProtection="1">
      <alignment horizontal="right" vertical="center" wrapText="1"/>
      <protection locked="0"/>
    </xf>
    <xf numFmtId="0" fontId="9" fillId="0" borderId="1" xfId="0" applyFont="1" applyBorder="1" applyAlignment="1">
      <alignment vertical="center" wrapText="1"/>
    </xf>
    <xf numFmtId="0" fontId="11" fillId="0" borderId="15" xfId="0" applyFont="1" applyBorder="1" applyAlignment="1">
      <alignment horizontal="right" vertical="center" wrapText="1"/>
    </xf>
    <xf numFmtId="0" fontId="9" fillId="0" borderId="1" xfId="0" applyFont="1" applyBorder="1" applyAlignment="1">
      <alignment vertical="top" wrapText="1"/>
    </xf>
    <xf numFmtId="167" fontId="16" fillId="5" borderId="16" xfId="5" applyFill="1" applyBorder="1" applyAlignment="1">
      <alignment horizontal="center"/>
    </xf>
    <xf numFmtId="167" fontId="16" fillId="5" borderId="17" xfId="5" applyFill="1" applyBorder="1" applyAlignment="1">
      <alignment horizontal="center"/>
    </xf>
    <xf numFmtId="167" fontId="16" fillId="5" borderId="16" xfId="5" applyFill="1" applyBorder="1"/>
    <xf numFmtId="167" fontId="16" fillId="5" borderId="17" xfId="5" applyFill="1" applyBorder="1"/>
    <xf numFmtId="167" fontId="16" fillId="5" borderId="19" xfId="5" applyFill="1" applyBorder="1"/>
    <xf numFmtId="0" fontId="18" fillId="0" borderId="1" xfId="0" applyFont="1" applyBorder="1" applyAlignment="1">
      <alignment horizontal="left" vertical="center" wrapText="1"/>
    </xf>
    <xf numFmtId="167" fontId="16" fillId="5" borderId="20" xfId="5" applyFill="1" applyBorder="1" applyAlignment="1">
      <alignment horizontal="center"/>
    </xf>
    <xf numFmtId="167" fontId="16" fillId="5" borderId="2" xfId="5" applyFill="1" applyBorder="1" applyAlignment="1">
      <alignment horizontal="center"/>
    </xf>
    <xf numFmtId="167" fontId="16" fillId="5" borderId="20" xfId="5" applyFill="1" applyBorder="1"/>
    <xf numFmtId="167" fontId="16" fillId="5" borderId="2" xfId="5" applyFill="1" applyBorder="1"/>
    <xf numFmtId="167" fontId="16" fillId="5" borderId="3" xfId="5" applyFill="1" applyBorder="1"/>
    <xf numFmtId="166" fontId="4" fillId="0" borderId="14" xfId="0" applyNumberFormat="1" applyFont="1" applyBorder="1" applyAlignment="1" applyProtection="1">
      <alignment vertical="center" wrapText="1"/>
      <protection locked="0"/>
    </xf>
    <xf numFmtId="166" fontId="4" fillId="0" borderId="1" xfId="0" applyNumberFormat="1" applyFont="1" applyBorder="1" applyAlignment="1" applyProtection="1">
      <alignment vertical="center" wrapText="1"/>
      <protection locked="0"/>
    </xf>
    <xf numFmtId="166" fontId="4" fillId="0" borderId="15" xfId="0" applyNumberFormat="1" applyFont="1" applyBorder="1" applyAlignment="1" applyProtection="1">
      <alignment vertical="center" wrapText="1"/>
      <protection locked="0"/>
    </xf>
    <xf numFmtId="166" fontId="9" fillId="0" borderId="1" xfId="0" applyNumberFormat="1" applyFont="1" applyBorder="1" applyAlignment="1" applyProtection="1">
      <alignment horizontal="right" vertical="center" wrapText="1"/>
      <protection locked="0"/>
    </xf>
    <xf numFmtId="166" fontId="0" fillId="0" borderId="0" xfId="0" applyNumberFormat="1"/>
    <xf numFmtId="167" fontId="16" fillId="5" borderId="19" xfId="5" applyFill="1" applyBorder="1" applyAlignment="1">
      <alignment horizontal="center"/>
    </xf>
    <xf numFmtId="167" fontId="16" fillId="5" borderId="3" xfId="5" applyFill="1" applyBorder="1" applyAlignment="1">
      <alignment horizontal="center"/>
    </xf>
    <xf numFmtId="0" fontId="7" fillId="0" borderId="22" xfId="0" applyFont="1" applyBorder="1" applyAlignment="1">
      <alignment horizontal="left" vertical="center" wrapText="1" indent="1"/>
    </xf>
    <xf numFmtId="0" fontId="7" fillId="0" borderId="23"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25" xfId="0" applyFont="1" applyBorder="1" applyAlignment="1">
      <alignment horizontal="left" vertical="center" wrapText="1" indent="1"/>
    </xf>
    <xf numFmtId="0" fontId="9" fillId="0" borderId="22" xfId="0" applyFont="1" applyBorder="1" applyAlignment="1">
      <alignment vertical="center" wrapText="1"/>
    </xf>
    <xf numFmtId="0" fontId="11" fillId="0" borderId="23" xfId="0" applyFont="1" applyBorder="1" applyAlignment="1">
      <alignment horizontal="right" vertical="center" wrapText="1"/>
    </xf>
    <xf numFmtId="0" fontId="21" fillId="0" borderId="30" xfId="0" applyFont="1" applyBorder="1" applyAlignment="1">
      <alignment horizontal="center"/>
    </xf>
    <xf numFmtId="0" fontId="11" fillId="0" borderId="30" xfId="0" applyFont="1" applyBorder="1"/>
    <xf numFmtId="0" fontId="11" fillId="0" borderId="0" xfId="6" applyFont="1"/>
    <xf numFmtId="14" fontId="4" fillId="0" borderId="0" xfId="0" applyNumberFormat="1" applyFont="1" applyAlignment="1">
      <alignment horizontal="left"/>
    </xf>
    <xf numFmtId="43" fontId="9" fillId="0" borderId="0" xfId="1" applyFont="1"/>
    <xf numFmtId="0" fontId="0" fillId="0" borderId="0" xfId="0" applyAlignment="1">
      <alignment horizontal="left" vertical="center"/>
    </xf>
    <xf numFmtId="0" fontId="0" fillId="0" borderId="0" xfId="0" applyAlignment="1">
      <alignment horizontal="center"/>
    </xf>
    <xf numFmtId="164" fontId="4" fillId="8" borderId="1" xfId="1" applyNumberFormat="1" applyFont="1" applyFill="1" applyBorder="1"/>
    <xf numFmtId="164" fontId="4" fillId="0" borderId="1" xfId="1" applyNumberFormat="1" applyFont="1" applyBorder="1"/>
    <xf numFmtId="0" fontId="22" fillId="0" borderId="1" xfId="0" applyFont="1" applyBorder="1" applyAlignment="1">
      <alignment horizontal="left" vertical="center" wrapText="1"/>
    </xf>
    <xf numFmtId="0" fontId="0" fillId="0" borderId="1" xfId="0" applyBorder="1" applyAlignment="1">
      <alignment horizontal="center"/>
    </xf>
    <xf numFmtId="0" fontId="23" fillId="0" borderId="1" xfId="0" applyFont="1" applyBorder="1" applyAlignment="1">
      <alignment horizontal="left"/>
    </xf>
    <xf numFmtId="0" fontId="22" fillId="0" borderId="31" xfId="0" applyFont="1" applyBorder="1" applyAlignment="1">
      <alignment horizontal="left" vertical="center" wrapText="1"/>
    </xf>
    <xf numFmtId="0" fontId="24" fillId="0" borderId="31" xfId="0" applyFont="1" applyBorder="1" applyAlignment="1">
      <alignment horizontal="left" vertical="center" wrapText="1" indent="1"/>
    </xf>
    <xf numFmtId="0" fontId="25" fillId="0" borderId="31" xfId="0" applyFont="1" applyBorder="1" applyAlignment="1">
      <alignment horizontal="left" vertical="center" wrapText="1" indent="1"/>
    </xf>
    <xf numFmtId="0" fontId="24" fillId="2" borderId="31" xfId="0" applyFont="1" applyFill="1" applyBorder="1" applyAlignment="1">
      <alignment horizontal="left" vertical="center" wrapText="1" indent="1"/>
    </xf>
    <xf numFmtId="0" fontId="22" fillId="2" borderId="1" xfId="7" applyFont="1" applyFill="1" applyBorder="1" applyAlignment="1">
      <alignment horizontal="left" vertical="center" wrapText="1"/>
    </xf>
    <xf numFmtId="0" fontId="25" fillId="2" borderId="31" xfId="0" applyFont="1" applyFill="1" applyBorder="1" applyAlignment="1">
      <alignment horizontal="left" vertical="center" wrapText="1" indent="1"/>
    </xf>
    <xf numFmtId="0" fontId="22" fillId="0" borderId="1" xfId="7" applyFont="1" applyBorder="1" applyAlignment="1">
      <alignment horizontal="left" vertical="center" wrapText="1"/>
    </xf>
    <xf numFmtId="0" fontId="2" fillId="0" borderId="0" xfId="0" applyFont="1" applyAlignment="1">
      <alignment horizontal="right"/>
    </xf>
    <xf numFmtId="164" fontId="4" fillId="0" borderId="29" xfId="1" applyNumberFormat="1" applyFont="1" applyBorder="1" applyAlignment="1"/>
    <xf numFmtId="164" fontId="4" fillId="0" borderId="11" xfId="1" applyNumberFormat="1" applyFont="1" applyBorder="1" applyAlignment="1"/>
    <xf numFmtId="164" fontId="4" fillId="0" borderId="13" xfId="1" applyNumberFormat="1" applyFont="1" applyBorder="1" applyAlignment="1"/>
    <xf numFmtId="0" fontId="26" fillId="0" borderId="1" xfId="7" applyFont="1" applyBorder="1" applyAlignment="1">
      <alignment horizontal="center" vertical="center" wrapText="1"/>
    </xf>
    <xf numFmtId="164" fontId="0" fillId="0" borderId="0" xfId="0" applyNumberFormat="1"/>
    <xf numFmtId="0" fontId="25" fillId="0" borderId="1" xfId="7" applyFont="1" applyBorder="1" applyAlignment="1">
      <alignment horizontal="left" vertical="center" wrapText="1" indent="1"/>
    </xf>
    <xf numFmtId="0" fontId="25" fillId="0" borderId="32" xfId="0" applyFont="1" applyBorder="1" applyAlignment="1">
      <alignment horizontal="left" vertical="center" wrapText="1" indent="1"/>
    </xf>
    <xf numFmtId="164" fontId="4" fillId="0" borderId="1" xfId="1" applyNumberFormat="1" applyFont="1" applyFill="1" applyBorder="1"/>
    <xf numFmtId="43" fontId="0" fillId="0" borderId="0" xfId="0" applyNumberFormat="1"/>
    <xf numFmtId="0" fontId="22" fillId="2" borderId="31" xfId="0" applyFont="1" applyFill="1" applyBorder="1" applyAlignment="1">
      <alignment horizontal="left" vertical="center" wrapText="1"/>
    </xf>
    <xf numFmtId="0" fontId="25" fillId="2" borderId="1" xfId="7" applyFont="1" applyFill="1" applyBorder="1" applyAlignment="1">
      <alignment horizontal="left" vertical="center" wrapText="1" indent="1"/>
    </xf>
    <xf numFmtId="0" fontId="22" fillId="2" borderId="33" xfId="0" applyFont="1" applyFill="1" applyBorder="1" applyAlignment="1">
      <alignment horizontal="left" vertical="center" wrapText="1"/>
    </xf>
    <xf numFmtId="164" fontId="4" fillId="0" borderId="11" xfId="1" applyNumberFormat="1" applyFont="1" applyBorder="1" applyAlignment="1">
      <alignment horizontal="center"/>
    </xf>
    <xf numFmtId="0" fontId="24" fillId="0" borderId="1" xfId="7" applyFont="1" applyBorder="1" applyAlignment="1">
      <alignment horizontal="left" vertical="center" wrapText="1" indent="1"/>
    </xf>
    <xf numFmtId="0" fontId="22" fillId="2" borderId="32" xfId="0" applyFont="1" applyFill="1" applyBorder="1" applyAlignment="1">
      <alignment horizontal="left" vertical="center" wrapText="1"/>
    </xf>
    <xf numFmtId="0" fontId="22" fillId="2" borderId="31" xfId="0" applyFont="1" applyFill="1" applyBorder="1" applyAlignment="1">
      <alignment vertical="top" wrapText="1"/>
    </xf>
    <xf numFmtId="0" fontId="27" fillId="0" borderId="31" xfId="0" applyFont="1" applyBorder="1" applyAlignment="1">
      <alignment horizontal="left" vertical="center" wrapText="1"/>
    </xf>
    <xf numFmtId="164" fontId="4" fillId="8" borderId="1" xfId="1" applyNumberFormat="1" applyFont="1" applyFill="1" applyBorder="1" applyAlignment="1">
      <alignment vertical="center"/>
    </xf>
    <xf numFmtId="164" fontId="4" fillId="0" borderId="1" xfId="1" applyNumberFormat="1" applyFont="1" applyBorder="1" applyAlignment="1">
      <alignment vertical="center"/>
    </xf>
    <xf numFmtId="0" fontId="27" fillId="2" borderId="1" xfId="7" applyFont="1" applyFill="1" applyBorder="1" applyAlignment="1">
      <alignment horizontal="left" vertical="center" wrapText="1"/>
    </xf>
    <xf numFmtId="164" fontId="0" fillId="0" borderId="29" xfId="1" applyNumberFormat="1" applyFont="1" applyBorder="1" applyAlignment="1"/>
    <xf numFmtId="164" fontId="0" fillId="0" borderId="11" xfId="1" applyNumberFormat="1" applyFont="1" applyBorder="1" applyAlignment="1"/>
    <xf numFmtId="164" fontId="0" fillId="0" borderId="13" xfId="1" applyNumberFormat="1" applyFont="1" applyBorder="1" applyAlignment="1"/>
    <xf numFmtId="0" fontId="3" fillId="0" borderId="1" xfId="0" applyFont="1" applyBorder="1" applyAlignment="1">
      <alignment horizontal="center" vertical="center"/>
    </xf>
    <xf numFmtId="0" fontId="0" fillId="0" borderId="1" xfId="0" applyBorder="1" applyAlignment="1">
      <alignment horizontal="center" vertical="center"/>
    </xf>
    <xf numFmtId="164" fontId="11" fillId="0" borderId="1" xfId="1" applyNumberFormat="1" applyFont="1" applyBorder="1" applyAlignment="1">
      <alignment horizontal="center" vertical="center" wrapText="1"/>
    </xf>
    <xf numFmtId="164" fontId="4" fillId="0" borderId="0" xfId="1" applyNumberFormat="1" applyFont="1"/>
    <xf numFmtId="164" fontId="9" fillId="0" borderId="0" xfId="1" applyNumberFormat="1" applyFont="1"/>
    <xf numFmtId="43" fontId="0" fillId="8" borderId="1" xfId="1" applyFont="1" applyFill="1" applyBorder="1"/>
    <xf numFmtId="43" fontId="0" fillId="0" borderId="1" xfId="1" applyFont="1" applyBorder="1"/>
    <xf numFmtId="0" fontId="22" fillId="0" borderId="1" xfId="7" applyFont="1" applyBorder="1" applyAlignment="1">
      <alignment vertical="center" wrapText="1"/>
    </xf>
    <xf numFmtId="0" fontId="22" fillId="0" borderId="31" xfId="0" applyFont="1" applyBorder="1" applyAlignment="1">
      <alignment vertical="center" wrapText="1"/>
    </xf>
    <xf numFmtId="0" fontId="27"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4" fillId="0" borderId="35" xfId="0" applyFont="1" applyBorder="1" applyAlignment="1">
      <alignment horizontal="left" vertical="center" wrapText="1" indent="1"/>
    </xf>
    <xf numFmtId="0" fontId="22" fillId="0" borderId="31" xfId="0" applyFont="1" applyBorder="1" applyAlignment="1">
      <alignment horizontal="justify" vertical="center" wrapText="1"/>
    </xf>
    <xf numFmtId="164" fontId="0" fillId="8" borderId="1" xfId="1" applyNumberFormat="1" applyFont="1" applyFill="1" applyBorder="1"/>
    <xf numFmtId="164" fontId="0" fillId="0" borderId="1" xfId="1" applyNumberFormat="1" applyFont="1" applyBorder="1"/>
    <xf numFmtId="0" fontId="22" fillId="0" borderId="1" xfId="7" applyFont="1" applyBorder="1" applyAlignment="1">
      <alignment horizontal="justify" vertical="center" wrapText="1"/>
    </xf>
    <xf numFmtId="0" fontId="22" fillId="0" borderId="33" xfId="0" applyFont="1" applyBorder="1" applyAlignment="1">
      <alignment horizontal="justify" vertical="center" wrapText="1"/>
    </xf>
    <xf numFmtId="0" fontId="22" fillId="0" borderId="32" xfId="0" applyFont="1" applyBorder="1" applyAlignment="1">
      <alignment horizontal="justify" vertical="center" wrapText="1"/>
    </xf>
    <xf numFmtId="164" fontId="0" fillId="0" borderId="1" xfId="1" applyNumberFormat="1" applyFont="1" applyFill="1" applyBorder="1"/>
    <xf numFmtId="0" fontId="22" fillId="2" borderId="31" xfId="0" applyFont="1" applyFill="1" applyBorder="1" applyAlignment="1">
      <alignment horizontal="justify" vertical="center" wrapText="1"/>
    </xf>
    <xf numFmtId="0" fontId="27" fillId="0" borderId="31" xfId="0" applyFont="1" applyBorder="1" applyAlignment="1">
      <alignment horizontal="justify" vertical="center" wrapText="1"/>
    </xf>
    <xf numFmtId="0" fontId="22" fillId="0" borderId="31" xfId="0" applyFont="1" applyBorder="1" applyAlignment="1">
      <alignment vertical="top" wrapText="1"/>
    </xf>
    <xf numFmtId="0" fontId="25" fillId="0" borderId="33" xfId="0" applyFont="1" applyBorder="1" applyAlignment="1">
      <alignment horizontal="left" vertical="center" wrapText="1" indent="1"/>
    </xf>
    <xf numFmtId="0" fontId="22" fillId="0" borderId="36" xfId="0" applyFont="1" applyBorder="1" applyAlignment="1">
      <alignment horizontal="justify" vertical="center" wrapText="1"/>
    </xf>
    <xf numFmtId="0" fontId="11" fillId="0" borderId="1" xfId="0" applyFont="1" applyBorder="1" applyAlignment="1">
      <alignment horizontal="center" vertical="center" wrapText="1"/>
    </xf>
    <xf numFmtId="166" fontId="11" fillId="0" borderId="0" xfId="0" applyNumberFormat="1" applyFont="1" applyAlignment="1">
      <alignment horizontal="right"/>
    </xf>
    <xf numFmtId="166" fontId="11" fillId="8" borderId="14" xfId="0" applyNumberFormat="1" applyFont="1" applyFill="1" applyBorder="1" applyAlignment="1">
      <alignment horizontal="right"/>
    </xf>
    <xf numFmtId="166" fontId="11" fillId="0" borderId="1" xfId="0" applyNumberFormat="1" applyFont="1" applyBorder="1" applyAlignment="1">
      <alignment horizontal="right"/>
    </xf>
    <xf numFmtId="166" fontId="11" fillId="8" borderId="1" xfId="0" applyNumberFormat="1" applyFont="1" applyFill="1" applyBorder="1" applyAlignment="1">
      <alignment horizontal="right"/>
    </xf>
    <xf numFmtId="0" fontId="3" fillId="0" borderId="1" xfId="0" applyFont="1" applyBorder="1"/>
    <xf numFmtId="0" fontId="9" fillId="0" borderId="1" xfId="0" applyFont="1" applyBorder="1" applyAlignment="1">
      <alignment horizontal="left" vertical="center" wrapText="1" indent="1"/>
    </xf>
    <xf numFmtId="0" fontId="3" fillId="0" borderId="1" xfId="0" applyFont="1" applyBorder="1" applyAlignment="1">
      <alignment vertical="center"/>
    </xf>
    <xf numFmtId="0" fontId="17" fillId="0" borderId="1" xfId="0" applyFont="1" applyBorder="1" applyAlignment="1">
      <alignment vertical="center" wrapText="1"/>
    </xf>
    <xf numFmtId="0" fontId="30" fillId="0" borderId="1" xfId="0" applyFont="1" applyBorder="1" applyAlignment="1" applyProtection="1">
      <alignment horizontal="left" vertical="center" indent="1"/>
      <protection locked="0"/>
    </xf>
    <xf numFmtId="0" fontId="31" fillId="0" borderId="1" xfId="0" applyFont="1" applyBorder="1" applyAlignment="1" applyProtection="1">
      <alignment vertical="top" wrapText="1"/>
      <protection locked="0"/>
    </xf>
    <xf numFmtId="0" fontId="31" fillId="0" borderId="1" xfId="0" applyFont="1" applyBorder="1" applyAlignment="1" applyProtection="1">
      <alignment horizontal="left" vertical="center" indent="3"/>
      <protection locked="0"/>
    </xf>
    <xf numFmtId="0" fontId="32" fillId="0" borderId="1" xfId="0" applyFont="1" applyBorder="1" applyAlignment="1" applyProtection="1">
      <alignment horizontal="left" vertical="center" indent="3"/>
      <protection locked="0"/>
    </xf>
    <xf numFmtId="0" fontId="11" fillId="0" borderId="14" xfId="0" applyFont="1" applyBorder="1" applyAlignment="1">
      <alignment horizontal="center" vertical="center" wrapText="1"/>
    </xf>
    <xf numFmtId="0" fontId="21" fillId="0" borderId="34" xfId="0" applyFont="1" applyBorder="1" applyAlignment="1">
      <alignment horizontal="center"/>
    </xf>
    <xf numFmtId="0" fontId="33" fillId="0" borderId="0" xfId="0" applyFont="1"/>
    <xf numFmtId="3" fontId="4" fillId="0" borderId="0" xfId="0" applyNumberFormat="1" applyFont="1"/>
    <xf numFmtId="0" fontId="4" fillId="0" borderId="0" xfId="0" applyFont="1" applyAlignment="1">
      <alignment vertical="top" wrapText="1"/>
    </xf>
    <xf numFmtId="3" fontId="34" fillId="8" borderId="6" xfId="0" applyNumberFormat="1" applyFont="1" applyFill="1" applyBorder="1" applyAlignment="1">
      <alignment vertical="center" wrapText="1"/>
    </xf>
    <xf numFmtId="3" fontId="34" fillId="8" borderId="39" xfId="0" applyNumberFormat="1" applyFont="1" applyFill="1" applyBorder="1" applyAlignment="1">
      <alignment vertical="center" wrapText="1"/>
    </xf>
    <xf numFmtId="0" fontId="35" fillId="0" borderId="6" xfId="0" applyFont="1" applyBorder="1" applyAlignment="1">
      <alignment vertical="center" wrapText="1"/>
    </xf>
    <xf numFmtId="0" fontId="36" fillId="0" borderId="7" xfId="0" applyFont="1" applyBorder="1" applyAlignment="1">
      <alignment horizontal="center" vertical="center" wrapText="1"/>
    </xf>
    <xf numFmtId="3" fontId="34" fillId="0" borderId="1" xfId="0" applyNumberFormat="1" applyFont="1" applyBorder="1" applyAlignment="1">
      <alignment vertical="center" wrapText="1"/>
    </xf>
    <xf numFmtId="3" fontId="34" fillId="0" borderId="10" xfId="0" applyNumberFormat="1" applyFont="1" applyBorder="1" applyAlignment="1">
      <alignment vertical="center" wrapText="1"/>
    </xf>
    <xf numFmtId="3" fontId="34" fillId="0" borderId="13" xfId="0" applyNumberFormat="1" applyFont="1" applyBorder="1" applyAlignment="1">
      <alignment vertical="center" wrapText="1"/>
    </xf>
    <xf numFmtId="0" fontId="4" fillId="0" borderId="1" xfId="0" applyFont="1" applyBorder="1" applyAlignment="1">
      <alignment vertical="center" wrapText="1"/>
    </xf>
    <xf numFmtId="0" fontId="36" fillId="0" borderId="15" xfId="0" applyFont="1" applyBorder="1" applyAlignment="1">
      <alignment horizontal="center" vertical="center" wrapText="1"/>
    </xf>
    <xf numFmtId="0" fontId="4" fillId="0" borderId="1" xfId="0" applyFont="1" applyBorder="1" applyAlignment="1">
      <alignment horizontal="left" vertical="center" wrapText="1" indent="2"/>
    </xf>
    <xf numFmtId="14" fontId="9" fillId="2" borderId="1" xfId="8" quotePrefix="1" applyNumberFormat="1" applyFont="1" applyFill="1" applyBorder="1" applyAlignment="1" applyProtection="1">
      <alignment horizontal="left" vertical="center" wrapText="1" indent="2"/>
      <protection locked="0"/>
    </xf>
    <xf numFmtId="14" fontId="9" fillId="2" borderId="1" xfId="8" quotePrefix="1" applyNumberFormat="1" applyFont="1" applyFill="1" applyBorder="1" applyAlignment="1" applyProtection="1">
      <alignment horizontal="left" vertical="center" wrapText="1" indent="3"/>
      <protection locked="0"/>
    </xf>
    <xf numFmtId="3" fontId="34" fillId="8" borderId="1" xfId="0" applyNumberFormat="1" applyFont="1" applyFill="1" applyBorder="1" applyAlignment="1">
      <alignment vertical="center" wrapText="1"/>
    </xf>
    <xf numFmtId="3" fontId="34" fillId="8" borderId="10" xfId="0" applyNumberFormat="1" applyFont="1" applyFill="1" applyBorder="1" applyAlignment="1">
      <alignment vertical="center" wrapText="1"/>
    </xf>
    <xf numFmtId="0" fontId="7" fillId="0" borderId="22" xfId="0" applyFont="1" applyBorder="1" applyAlignment="1">
      <alignment horizontal="center" vertical="center" wrapText="1"/>
    </xf>
    <xf numFmtId="0" fontId="35" fillId="0" borderId="25" xfId="0" applyFont="1" applyBorder="1" applyAlignment="1">
      <alignment vertical="center" wrapText="1"/>
    </xf>
    <xf numFmtId="0" fontId="4" fillId="0" borderId="40" xfId="0" applyFont="1" applyBorder="1" applyAlignment="1">
      <alignment vertical="center" wrapText="1"/>
    </xf>
    <xf numFmtId="0" fontId="38" fillId="0" borderId="30" xfId="0" applyFont="1" applyBorder="1" applyAlignment="1">
      <alignment horizontal="center"/>
    </xf>
    <xf numFmtId="0" fontId="35" fillId="0" borderId="30" xfId="0" applyFont="1" applyBorder="1" applyAlignment="1">
      <alignment horizontal="center"/>
    </xf>
    <xf numFmtId="0" fontId="4" fillId="0" borderId="30" xfId="0" applyFont="1" applyBorder="1"/>
    <xf numFmtId="0" fontId="4" fillId="0" borderId="5" xfId="0" applyFont="1" applyBorder="1"/>
    <xf numFmtId="0" fontId="39" fillId="0" borderId="41" xfId="0" applyFont="1" applyBorder="1" applyAlignment="1">
      <alignment wrapText="1"/>
    </xf>
    <xf numFmtId="0" fontId="11" fillId="0" borderId="7" xfId="0" applyFont="1" applyBorder="1"/>
    <xf numFmtId="0" fontId="39" fillId="0" borderId="3" xfId="0" applyFont="1" applyBorder="1" applyAlignment="1">
      <alignment wrapText="1"/>
    </xf>
    <xf numFmtId="9" fontId="0" fillId="0" borderId="0" xfId="2" applyFont="1" applyFill="1"/>
    <xf numFmtId="10" fontId="4" fillId="0" borderId="8" xfId="2" applyNumberFormat="1" applyFont="1" applyBorder="1"/>
    <xf numFmtId="0" fontId="11" fillId="0" borderId="9" xfId="0" applyFont="1" applyBorder="1" applyAlignment="1">
      <alignment horizontal="right" vertical="center"/>
    </xf>
    <xf numFmtId="10" fontId="4" fillId="0" borderId="8" xfId="2" applyNumberFormat="1" applyFont="1" applyFill="1" applyBorder="1"/>
    <xf numFmtId="0" fontId="11" fillId="0" borderId="9" xfId="0" applyFont="1" applyBorder="1" applyAlignment="1">
      <alignment vertical="center"/>
    </xf>
    <xf numFmtId="0" fontId="39" fillId="0" borderId="13" xfId="0" applyFont="1" applyBorder="1" applyAlignment="1">
      <alignment wrapText="1"/>
    </xf>
    <xf numFmtId="10" fontId="4" fillId="0" borderId="14" xfId="2" applyNumberFormat="1" applyFont="1" applyBorder="1"/>
    <xf numFmtId="0" fontId="11" fillId="0" borderId="15" xfId="0" applyFont="1" applyBorder="1" applyAlignment="1">
      <alignment vertical="center"/>
    </xf>
    <xf numFmtId="0" fontId="21" fillId="0" borderId="13" xfId="0" applyFont="1" applyBorder="1" applyAlignment="1">
      <alignment horizontal="center" vertical="center" wrapText="1"/>
    </xf>
    <xf numFmtId="164" fontId="0" fillId="0" borderId="0" xfId="1" applyNumberFormat="1" applyFont="1" applyFill="1"/>
    <xf numFmtId="0" fontId="4" fillId="0" borderId="10" xfId="0" applyFont="1" applyBorder="1"/>
    <xf numFmtId="10" fontId="4" fillId="0" borderId="10" xfId="2" applyNumberFormat="1" applyFont="1" applyBorder="1" applyAlignment="1">
      <alignment horizontal="center"/>
    </xf>
    <xf numFmtId="0" fontId="0" fillId="0" borderId="0" xfId="0" applyAlignment="1">
      <alignment wrapText="1"/>
    </xf>
    <xf numFmtId="0" fontId="11" fillId="0" borderId="10" xfId="0" applyFont="1" applyBorder="1" applyAlignment="1">
      <alignment wrapText="1"/>
    </xf>
    <xf numFmtId="0" fontId="11" fillId="0" borderId="13" xfId="0" applyFont="1" applyBorder="1" applyAlignment="1">
      <alignment wrapText="1"/>
    </xf>
    <xf numFmtId="0" fontId="11" fillId="0" borderId="14" xfId="0" applyFont="1" applyBorder="1" applyAlignment="1">
      <alignment wrapText="1"/>
    </xf>
    <xf numFmtId="0" fontId="11" fillId="0" borderId="13" xfId="0" applyFont="1" applyBorder="1" applyAlignment="1">
      <alignment vertical="top" wrapText="1"/>
    </xf>
    <xf numFmtId="0" fontId="21" fillId="0" borderId="14" xfId="0" applyFont="1" applyBorder="1" applyAlignment="1">
      <alignment horizontal="center" vertical="center" wrapText="1"/>
    </xf>
    <xf numFmtId="0" fontId="4" fillId="0" borderId="14" xfId="0" applyFont="1" applyBorder="1"/>
    <xf numFmtId="0" fontId="21" fillId="0" borderId="42" xfId="0" applyFont="1" applyBorder="1" applyAlignment="1">
      <alignment horizontal="center" wrapText="1"/>
    </xf>
    <xf numFmtId="0" fontId="11" fillId="0" borderId="23" xfId="0" applyFont="1" applyBorder="1"/>
    <xf numFmtId="0" fontId="11" fillId="0" borderId="0" xfId="0" applyFont="1" applyAlignment="1">
      <alignment horizontal="left" wrapText="1"/>
    </xf>
    <xf numFmtId="0" fontId="4" fillId="0" borderId="0" xfId="0" applyFont="1" applyAlignment="1">
      <alignment vertical="center"/>
    </xf>
    <xf numFmtId="0" fontId="13" fillId="0" borderId="0" xfId="0" applyFont="1" applyAlignment="1">
      <alignment vertical="center"/>
    </xf>
    <xf numFmtId="169" fontId="35" fillId="8" borderId="6" xfId="0" applyNumberFormat="1" applyFont="1" applyFill="1" applyBorder="1" applyAlignment="1">
      <alignment horizontal="center" vertical="center"/>
    </xf>
    <xf numFmtId="0" fontId="35" fillId="8" borderId="43" xfId="0" applyFont="1" applyFill="1" applyBorder="1" applyAlignment="1">
      <alignment vertical="center" wrapText="1"/>
    </xf>
    <xf numFmtId="0" fontId="0" fillId="0" borderId="7" xfId="0" applyBorder="1"/>
    <xf numFmtId="43" fontId="4" fillId="0" borderId="1" xfId="1" applyFont="1" applyBorder="1" applyAlignment="1">
      <alignment vertical="center"/>
    </xf>
    <xf numFmtId="0" fontId="24" fillId="2" borderId="31" xfId="0" applyFont="1" applyFill="1" applyBorder="1" applyAlignment="1">
      <alignment vertical="top" wrapText="1"/>
    </xf>
    <xf numFmtId="43" fontId="4" fillId="0" borderId="1" xfId="1" applyFont="1" applyFill="1" applyBorder="1" applyAlignment="1">
      <alignment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5" xfId="0" applyBorder="1"/>
    <xf numFmtId="0" fontId="9" fillId="0" borderId="0" xfId="6" applyFont="1" applyAlignment="1">
      <alignment vertical="center"/>
    </xf>
    <xf numFmtId="0" fontId="17" fillId="0" borderId="22" xfId="6" applyFont="1" applyBorder="1" applyAlignment="1">
      <alignment horizontal="center" vertical="center"/>
    </xf>
    <xf numFmtId="0" fontId="9" fillId="0" borderId="22" xfId="6" applyFont="1" applyBorder="1" applyAlignment="1">
      <alignment vertical="center"/>
    </xf>
    <xf numFmtId="0" fontId="9" fillId="0" borderId="23" xfId="6" applyFont="1" applyBorder="1" applyAlignment="1">
      <alignment vertical="center"/>
    </xf>
    <xf numFmtId="0" fontId="38" fillId="0" borderId="0" xfId="6" applyFont="1" applyAlignment="1">
      <alignment horizontal="right"/>
    </xf>
    <xf numFmtId="0" fontId="11" fillId="0" borderId="0" xfId="6" applyFont="1" applyAlignment="1">
      <alignment horizontal="left"/>
    </xf>
    <xf numFmtId="0" fontId="17" fillId="0" borderId="30" xfId="6" applyFont="1" applyBorder="1" applyAlignment="1">
      <alignment horizontal="left" vertical="center"/>
    </xf>
    <xf numFmtId="0" fontId="11" fillId="0" borderId="30" xfId="6" applyFont="1" applyBorder="1"/>
    <xf numFmtId="0" fontId="13" fillId="0" borderId="0" xfId="0" applyFont="1" applyAlignment="1">
      <alignment horizontal="center" vertical="center"/>
    </xf>
    <xf numFmtId="0" fontId="4" fillId="0" borderId="0" xfId="0" applyFont="1" applyAlignment="1">
      <alignment horizontal="center" vertical="center"/>
    </xf>
    <xf numFmtId="3" fontId="0" fillId="0" borderId="0" xfId="0" applyNumberFormat="1"/>
    <xf numFmtId="166" fontId="0" fillId="8" borderId="5" xfId="0" applyNumberFormat="1" applyFill="1" applyBorder="1" applyAlignment="1">
      <alignment horizontal="center" vertical="center" wrapText="1"/>
    </xf>
    <xf numFmtId="0" fontId="35" fillId="8" borderId="44" xfId="0" applyFont="1" applyFill="1" applyBorder="1" applyAlignment="1">
      <alignment wrapText="1"/>
    </xf>
    <xf numFmtId="0" fontId="4" fillId="0" borderId="7" xfId="0" applyFont="1" applyBorder="1" applyAlignment="1">
      <alignment horizontal="center" vertical="center" wrapText="1"/>
    </xf>
    <xf numFmtId="166" fontId="0" fillId="0" borderId="14" xfId="0" applyNumberFormat="1" applyBorder="1" applyAlignment="1">
      <alignment wrapText="1"/>
    </xf>
    <xf numFmtId="0" fontId="4" fillId="0" borderId="11" xfId="0" applyFont="1" applyBorder="1" applyAlignment="1">
      <alignment wrapText="1"/>
    </xf>
    <xf numFmtId="0" fontId="4" fillId="0" borderId="15" xfId="0" applyFont="1" applyBorder="1" applyAlignment="1">
      <alignment horizontal="center" vertical="center" wrapText="1"/>
    </xf>
    <xf numFmtId="0" fontId="4" fillId="0" borderId="11" xfId="0" applyFont="1" applyBorder="1" applyAlignment="1">
      <alignment vertical="center" wrapText="1"/>
    </xf>
    <xf numFmtId="166" fontId="0" fillId="0" borderId="14" xfId="0" applyNumberFormat="1" applyBorder="1"/>
    <xf numFmtId="0" fontId="4" fillId="0" borderId="11" xfId="0" applyFont="1" applyBorder="1" applyAlignment="1">
      <alignment vertical="center"/>
    </xf>
    <xf numFmtId="0" fontId="4" fillId="0" borderId="15" xfId="0" applyFont="1" applyBorder="1" applyAlignment="1">
      <alignment horizontal="center" vertical="center"/>
    </xf>
    <xf numFmtId="166" fontId="0" fillId="8" borderId="14" xfId="0" applyNumberFormat="1" applyFill="1" applyBorder="1" applyAlignment="1">
      <alignment horizontal="center" vertical="center" wrapText="1"/>
    </xf>
    <xf numFmtId="0" fontId="35" fillId="8" borderId="11" xfId="0" applyFont="1" applyFill="1" applyBorder="1" applyAlignment="1">
      <alignment wrapText="1"/>
    </xf>
    <xf numFmtId="0" fontId="4" fillId="0" borderId="11" xfId="0" applyFont="1" applyBorder="1"/>
    <xf numFmtId="166" fontId="0" fillId="8" borderId="34" xfId="0" applyNumberFormat="1" applyFill="1" applyBorder="1" applyAlignment="1">
      <alignment horizontal="center" vertical="center"/>
    </xf>
    <xf numFmtId="0" fontId="35" fillId="8" borderId="45" xfId="0" applyFont="1" applyFill="1" applyBorder="1" applyAlignment="1">
      <alignment wrapText="1"/>
    </xf>
    <xf numFmtId="0" fontId="0" fillId="0" borderId="23" xfId="0" applyBorder="1" applyAlignment="1">
      <alignment horizontal="center" vertical="center"/>
    </xf>
    <xf numFmtId="0" fontId="17" fillId="0" borderId="0" xfId="6" applyFont="1" applyAlignment="1">
      <alignment horizontal="center" vertical="center" wrapText="1"/>
    </xf>
    <xf numFmtId="38" fontId="4" fillId="0" borderId="0" xfId="0" applyNumberFormat="1" applyFont="1"/>
    <xf numFmtId="164" fontId="41" fillId="0" borderId="0" xfId="1" applyNumberFormat="1" applyFont="1"/>
    <xf numFmtId="0" fontId="41" fillId="0" borderId="0" xfId="0" applyFont="1" applyAlignment="1">
      <alignment horizontal="right"/>
    </xf>
    <xf numFmtId="166" fontId="9" fillId="8" borderId="5" xfId="9" applyNumberFormat="1" applyFont="1" applyFill="1" applyBorder="1" applyAlignment="1" applyProtection="1">
      <alignment vertical="top" wrapText="1"/>
    </xf>
    <xf numFmtId="0" fontId="17" fillId="8" borderId="6" xfId="10" applyFont="1" applyFill="1" applyBorder="1" applyAlignment="1" applyProtection="1">
      <alignment vertical="center" wrapText="1"/>
      <protection locked="0"/>
    </xf>
    <xf numFmtId="0" fontId="9" fillId="0" borderId="15" xfId="11" applyFont="1" applyBorder="1" applyAlignment="1" applyProtection="1">
      <alignment horizontal="center" vertical="center" wrapText="1"/>
      <protection locked="0"/>
    </xf>
    <xf numFmtId="166" fontId="9" fillId="2" borderId="14" xfId="9" applyNumberFormat="1" applyFont="1" applyFill="1" applyBorder="1" applyAlignment="1" applyProtection="1">
      <alignment vertical="top" wrapText="1"/>
      <protection locked="0"/>
    </xf>
    <xf numFmtId="0" fontId="9" fillId="2" borderId="1" xfId="10" applyFont="1" applyFill="1" applyBorder="1" applyAlignment="1" applyProtection="1">
      <alignment horizontal="left" vertical="center" wrapText="1"/>
      <protection locked="0"/>
    </xf>
    <xf numFmtId="0" fontId="9" fillId="2" borderId="1" xfId="11" applyFont="1" applyFill="1" applyBorder="1" applyAlignment="1" applyProtection="1">
      <alignment horizontal="left" vertical="center" wrapText="1"/>
      <protection locked="0"/>
    </xf>
    <xf numFmtId="166" fontId="9" fillId="8" borderId="14" xfId="9" applyNumberFormat="1" applyFont="1" applyFill="1" applyBorder="1" applyAlignment="1" applyProtection="1">
      <alignment vertical="top" wrapText="1"/>
    </xf>
    <xf numFmtId="0" fontId="17" fillId="8" borderId="1" xfId="10" applyFont="1" applyFill="1" applyBorder="1" applyAlignment="1" applyProtection="1">
      <alignment vertical="center" wrapText="1"/>
      <protection locked="0"/>
    </xf>
    <xf numFmtId="0" fontId="9" fillId="9" borderId="1" xfId="10" applyFont="1" applyFill="1" applyBorder="1" applyAlignment="1" applyProtection="1">
      <alignment vertical="center" wrapText="1"/>
      <protection locked="0"/>
    </xf>
    <xf numFmtId="0" fontId="9" fillId="2" borderId="1" xfId="10" applyFont="1" applyFill="1" applyBorder="1" applyAlignment="1" applyProtection="1">
      <alignment vertical="center" wrapText="1"/>
      <protection locked="0"/>
    </xf>
    <xf numFmtId="0" fontId="17" fillId="2" borderId="1" xfId="10" applyFont="1" applyFill="1" applyBorder="1" applyAlignment="1" applyProtection="1">
      <alignment vertical="center" wrapText="1"/>
      <protection locked="0"/>
    </xf>
    <xf numFmtId="1" fontId="17" fillId="8" borderId="1" xfId="9" applyNumberFormat="1" applyFont="1" applyFill="1" applyBorder="1" applyAlignment="1" applyProtection="1">
      <alignment horizontal="left" vertical="top" wrapText="1"/>
    </xf>
    <xf numFmtId="0" fontId="9" fillId="0" borderId="1" xfId="10" applyFont="1" applyBorder="1" applyAlignment="1" applyProtection="1">
      <alignment horizontal="left" vertical="center" wrapText="1"/>
      <protection locked="0"/>
    </xf>
    <xf numFmtId="0" fontId="9" fillId="2" borderId="1" xfId="10" applyFont="1" applyFill="1" applyBorder="1" applyAlignment="1" applyProtection="1">
      <alignment horizontal="left" vertical="center" wrapText="1" indent="3"/>
      <protection locked="0"/>
    </xf>
    <xf numFmtId="166" fontId="9" fillId="8" borderId="14" xfId="9" applyNumberFormat="1" applyFont="1" applyFill="1" applyBorder="1" applyAlignment="1" applyProtection="1">
      <alignment vertical="top" wrapText="1"/>
      <protection locked="0"/>
    </xf>
    <xf numFmtId="0" fontId="9" fillId="0" borderId="15" xfId="11" applyFont="1" applyBorder="1" applyAlignment="1" applyProtection="1">
      <alignment horizontal="center" vertical="center"/>
      <protection locked="0"/>
    </xf>
    <xf numFmtId="0" fontId="9" fillId="0" borderId="1" xfId="10" applyFont="1" applyBorder="1" applyAlignment="1" applyProtection="1">
      <alignment wrapText="1"/>
      <protection locked="0"/>
    </xf>
    <xf numFmtId="0" fontId="9" fillId="0" borderId="0" xfId="10" applyFont="1" applyAlignment="1" applyProtection="1">
      <alignment vertical="top" wrapText="1"/>
      <protection locked="0"/>
    </xf>
    <xf numFmtId="0" fontId="9" fillId="2" borderId="25" xfId="10" applyFont="1" applyFill="1" applyBorder="1" applyAlignment="1" applyProtection="1">
      <alignment horizontal="left" vertical="center" wrapText="1"/>
      <protection locked="0"/>
    </xf>
    <xf numFmtId="0" fontId="35" fillId="8" borderId="1" xfId="0" applyFont="1" applyFill="1" applyBorder="1" applyAlignment="1">
      <alignment horizontal="left" vertical="top" wrapText="1"/>
    </xf>
    <xf numFmtId="166" fontId="9" fillId="2" borderId="14" xfId="9" applyNumberFormat="1" applyFont="1" applyFill="1" applyBorder="1" applyAlignment="1" applyProtection="1">
      <alignment vertical="top"/>
      <protection locked="0"/>
    </xf>
    <xf numFmtId="0" fontId="9" fillId="2" borderId="4" xfId="10" applyFont="1" applyFill="1" applyBorder="1" applyAlignment="1" applyProtection="1">
      <alignment vertical="center" wrapText="1"/>
      <protection locked="0"/>
    </xf>
    <xf numFmtId="0" fontId="9" fillId="2" borderId="25" xfId="10" applyFont="1" applyFill="1" applyBorder="1" applyAlignment="1" applyProtection="1">
      <alignment vertical="center" wrapText="1"/>
      <protection locked="0"/>
    </xf>
    <xf numFmtId="166" fontId="9" fillId="8" borderId="14" xfId="9" applyNumberFormat="1" applyFont="1" applyFill="1" applyBorder="1" applyAlignment="1" applyProtection="1">
      <alignment vertical="top"/>
    </xf>
    <xf numFmtId="164" fontId="9" fillId="2" borderId="34" xfId="9" applyNumberFormat="1" applyFont="1" applyFill="1" applyBorder="1" applyAlignment="1" applyProtection="1">
      <alignment horizontal="center" vertical="center"/>
      <protection locked="0"/>
    </xf>
    <xf numFmtId="0" fontId="17" fillId="2" borderId="46" xfId="11" applyFont="1" applyFill="1" applyBorder="1" applyAlignment="1" applyProtection="1">
      <alignment horizontal="center" vertical="center" wrapText="1"/>
      <protection locked="0"/>
    </xf>
    <xf numFmtId="0" fontId="9" fillId="0" borderId="23" xfId="11" applyFont="1" applyBorder="1" applyAlignment="1" applyProtection="1">
      <alignment horizontal="center" vertical="center"/>
      <protection locked="0"/>
    </xf>
    <xf numFmtId="0" fontId="35" fillId="0" borderId="0" xfId="0" applyFont="1" applyAlignment="1">
      <alignment horizontal="center"/>
    </xf>
    <xf numFmtId="0" fontId="4" fillId="0" borderId="0" xfId="0" applyFont="1" applyAlignment="1">
      <alignment horizontal="left" vertical="center"/>
    </xf>
    <xf numFmtId="164" fontId="9" fillId="0" borderId="5" xfId="1" applyNumberFormat="1" applyFont="1" applyFill="1" applyBorder="1" applyAlignment="1" applyProtection="1">
      <alignment horizontal="right" vertical="center"/>
    </xf>
    <xf numFmtId="10" fontId="42" fillId="0" borderId="6" xfId="2" applyNumberFormat="1" applyFont="1" applyFill="1" applyBorder="1" applyAlignment="1" applyProtection="1">
      <alignment horizontal="left" vertical="center"/>
    </xf>
    <xf numFmtId="0" fontId="42" fillId="0" borderId="6" xfId="11" applyFont="1" applyBorder="1" applyAlignment="1" applyProtection="1">
      <alignment horizontal="left" vertical="center" wrapText="1"/>
      <protection locked="0"/>
    </xf>
    <xf numFmtId="49" fontId="43" fillId="0" borderId="7" xfId="12" applyNumberFormat="1" applyFont="1" applyBorder="1" applyAlignment="1" applyProtection="1">
      <alignment horizontal="left" vertical="center"/>
      <protection locked="0"/>
    </xf>
    <xf numFmtId="164" fontId="4" fillId="0" borderId="14" xfId="1" applyNumberFormat="1" applyFont="1" applyBorder="1" applyAlignment="1">
      <alignment horizontal="right" vertical="center" wrapText="1"/>
    </xf>
    <xf numFmtId="10" fontId="6" fillId="0" borderId="1" xfId="2"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35" fillId="0" borderId="15" xfId="0" applyFont="1" applyBorder="1" applyAlignment="1">
      <alignment horizontal="left" vertical="center" wrapText="1"/>
    </xf>
    <xf numFmtId="1" fontId="35" fillId="8" borderId="14" xfId="0" applyNumberFormat="1" applyFont="1" applyFill="1" applyBorder="1" applyAlignment="1">
      <alignment horizontal="center" vertical="center" wrapText="1"/>
    </xf>
    <xf numFmtId="10" fontId="35" fillId="8" borderId="1" xfId="0" applyNumberFormat="1" applyFont="1" applyFill="1" applyBorder="1" applyAlignment="1">
      <alignment horizontal="center" vertical="center" wrapText="1"/>
    </xf>
    <xf numFmtId="164" fontId="6" fillId="0" borderId="14" xfId="1" applyNumberFormat="1" applyFont="1" applyBorder="1" applyAlignment="1">
      <alignment horizontal="right" vertical="center" wrapText="1"/>
    </xf>
    <xf numFmtId="49" fontId="6" fillId="0" borderId="15" xfId="0" applyNumberFormat="1" applyFont="1" applyBorder="1" applyAlignment="1">
      <alignment horizontal="right" vertical="center" wrapText="1"/>
    </xf>
    <xf numFmtId="164" fontId="35" fillId="8" borderId="14" xfId="1" applyNumberFormat="1" applyFont="1" applyFill="1" applyBorder="1" applyAlignment="1">
      <alignment horizontal="right" vertical="center" wrapText="1"/>
    </xf>
    <xf numFmtId="10" fontId="35" fillId="8" borderId="1" xfId="2" applyNumberFormat="1" applyFont="1" applyFill="1" applyBorder="1" applyAlignment="1">
      <alignment horizontal="left" vertical="center" wrapText="1"/>
    </xf>
    <xf numFmtId="0" fontId="35" fillId="8" borderId="1" xfId="0" applyFont="1" applyFill="1" applyBorder="1" applyAlignment="1">
      <alignment horizontal="left" vertical="center" wrapText="1"/>
    </xf>
    <xf numFmtId="0" fontId="35" fillId="8" borderId="15" xfId="0" applyFont="1" applyFill="1" applyBorder="1" applyAlignment="1">
      <alignment horizontal="left" vertical="center" wrapText="1"/>
    </xf>
    <xf numFmtId="0" fontId="6" fillId="0" borderId="0" xfId="0" applyFont="1" applyAlignment="1">
      <alignment horizontal="left" vertical="center"/>
    </xf>
    <xf numFmtId="0" fontId="6" fillId="0" borderId="15" xfId="0" applyFont="1" applyBorder="1" applyAlignment="1">
      <alignment horizontal="right" vertical="center" wrapText="1"/>
    </xf>
    <xf numFmtId="10" fontId="35" fillId="8" borderId="1" xfId="0" applyNumberFormat="1" applyFont="1" applyFill="1" applyBorder="1" applyAlignment="1">
      <alignment horizontal="left" vertical="center" wrapText="1"/>
    </xf>
    <xf numFmtId="10" fontId="9" fillId="0" borderId="1" xfId="2"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right" vertical="center" wrapText="1"/>
    </xf>
    <xf numFmtId="0" fontId="35" fillId="8" borderId="14" xfId="0" applyFont="1" applyFill="1" applyBorder="1" applyAlignment="1">
      <alignment horizontal="left" vertical="center" wrapText="1"/>
    </xf>
    <xf numFmtId="0" fontId="35" fillId="8" borderId="34" xfId="0" applyFont="1" applyFill="1" applyBorder="1" applyAlignment="1">
      <alignment horizontal="center" vertical="center" wrapText="1"/>
    </xf>
    <xf numFmtId="0" fontId="35" fillId="8" borderId="22" xfId="0" applyFont="1" applyFill="1" applyBorder="1" applyAlignment="1">
      <alignment horizontal="center" vertical="center" wrapText="1"/>
    </xf>
    <xf numFmtId="0" fontId="35" fillId="0" borderId="0" xfId="13" applyFont="1" applyAlignment="1" applyProtection="1">
      <alignment horizontal="left" vertical="center"/>
      <protection locked="0"/>
    </xf>
    <xf numFmtId="0" fontId="13" fillId="0" borderId="0" xfId="0" applyFont="1"/>
    <xf numFmtId="43" fontId="44" fillId="0" borderId="0" xfId="0" applyNumberFormat="1" applyFont="1"/>
    <xf numFmtId="164" fontId="44" fillId="0" borderId="0" xfId="1" applyNumberFormat="1" applyFont="1"/>
    <xf numFmtId="43" fontId="45" fillId="0" borderId="1" xfId="1" applyFont="1" applyBorder="1" applyAlignment="1">
      <alignment horizontal="center" vertical="center"/>
    </xf>
    <xf numFmtId="169" fontId="46" fillId="6" borderId="49" xfId="0" applyNumberFormat="1" applyFont="1" applyFill="1" applyBorder="1" applyAlignment="1">
      <alignment horizontal="center"/>
    </xf>
    <xf numFmtId="43" fontId="13" fillId="0" borderId="1" xfId="1" applyFont="1" applyBorder="1" applyAlignment="1">
      <alignment horizontal="center" vertical="center"/>
    </xf>
    <xf numFmtId="0" fontId="24" fillId="0" borderId="1" xfId="0" applyFont="1" applyBorder="1" applyAlignment="1">
      <alignment horizontal="left" vertical="center" wrapText="1" indent="1"/>
    </xf>
    <xf numFmtId="0" fontId="25" fillId="0" borderId="1" xfId="0" applyFont="1" applyBorder="1" applyAlignment="1">
      <alignment horizontal="left" vertical="center" wrapText="1" indent="1"/>
    </xf>
    <xf numFmtId="0" fontId="24" fillId="2" borderId="1" xfId="0" applyFont="1" applyFill="1" applyBorder="1" applyAlignment="1">
      <alignment horizontal="left" vertical="center" wrapText="1" indent="1"/>
    </xf>
    <xf numFmtId="0" fontId="25" fillId="2" borderId="1" xfId="0" applyFont="1" applyFill="1" applyBorder="1" applyAlignment="1">
      <alignment horizontal="left" vertical="center" wrapText="1" indent="1"/>
    </xf>
    <xf numFmtId="43" fontId="45" fillId="0" borderId="1" xfId="1" applyFont="1" applyBorder="1" applyAlignment="1">
      <alignment horizontal="center"/>
    </xf>
    <xf numFmtId="43" fontId="13" fillId="0" borderId="1" xfId="1" applyFont="1" applyBorder="1" applyAlignment="1">
      <alignment horizontal="center"/>
    </xf>
    <xf numFmtId="43" fontId="13" fillId="0" borderId="1" xfId="1" applyFont="1" applyFill="1" applyBorder="1" applyAlignment="1">
      <alignment horizontal="center"/>
    </xf>
    <xf numFmtId="169" fontId="3" fillId="0" borderId="0" xfId="0" applyNumberFormat="1" applyFont="1" applyAlignment="1">
      <alignment horizontal="center"/>
    </xf>
    <xf numFmtId="169" fontId="13" fillId="0" borderId="1" xfId="0" applyNumberFormat="1" applyFont="1" applyBorder="1" applyAlignment="1">
      <alignment horizontal="center"/>
    </xf>
    <xf numFmtId="43" fontId="13" fillId="0" borderId="50" xfId="1" applyFont="1" applyBorder="1" applyAlignment="1">
      <alignment horizontal="center" vertical="center"/>
    </xf>
    <xf numFmtId="169" fontId="0" fillId="0" borderId="0" xfId="0" applyNumberFormat="1" applyAlignment="1">
      <alignment horizontal="center"/>
    </xf>
    <xf numFmtId="169" fontId="13" fillId="0" borderId="51" xfId="0" applyNumberFormat="1" applyFont="1" applyBorder="1" applyAlignment="1">
      <alignment horizontal="center"/>
    </xf>
    <xf numFmtId="0" fontId="25" fillId="0" borderId="4" xfId="7" applyFont="1" applyBorder="1" applyAlignment="1">
      <alignment horizontal="left" vertical="center" wrapText="1" indent="1"/>
    </xf>
    <xf numFmtId="0" fontId="0" fillId="0" borderId="4" xfId="0" applyBorder="1" applyAlignment="1">
      <alignment horizontal="center"/>
    </xf>
    <xf numFmtId="169" fontId="13" fillId="0" borderId="52" xfId="0" applyNumberFormat="1" applyFont="1" applyBorder="1" applyAlignment="1">
      <alignment horizontal="center"/>
    </xf>
    <xf numFmtId="43" fontId="45" fillId="0" borderId="50" xfId="1" applyFont="1" applyBorder="1" applyAlignment="1">
      <alignment horizontal="center" vertical="center"/>
    </xf>
    <xf numFmtId="43" fontId="45" fillId="0" borderId="53" xfId="1" applyFont="1" applyBorder="1" applyAlignment="1">
      <alignment horizontal="center" vertical="center"/>
    </xf>
    <xf numFmtId="169" fontId="45" fillId="0" borderId="54" xfId="0" applyNumberFormat="1" applyFont="1" applyBorder="1" applyAlignment="1">
      <alignment horizontal="center"/>
    </xf>
    <xf numFmtId="169" fontId="13" fillId="0" borderId="55" xfId="0" applyNumberFormat="1" applyFont="1" applyBorder="1" applyAlignment="1">
      <alignment horizontal="center"/>
    </xf>
    <xf numFmtId="43" fontId="46" fillId="0" borderId="56" xfId="1" applyFont="1" applyBorder="1" applyAlignment="1">
      <alignment vertical="center"/>
    </xf>
    <xf numFmtId="43" fontId="45" fillId="0" borderId="56" xfId="1" applyFont="1" applyBorder="1" applyAlignment="1">
      <alignment horizontal="center" vertical="center"/>
    </xf>
    <xf numFmtId="43" fontId="45" fillId="0" borderId="57" xfId="1" applyFont="1" applyBorder="1" applyAlignment="1">
      <alignment horizontal="center" vertical="center"/>
    </xf>
    <xf numFmtId="43" fontId="13" fillId="0" borderId="56" xfId="1" applyFont="1" applyBorder="1" applyAlignment="1">
      <alignment horizontal="center" vertical="center"/>
    </xf>
    <xf numFmtId="169" fontId="38" fillId="0" borderId="52" xfId="0" applyNumberFormat="1" applyFont="1" applyBorder="1" applyAlignment="1">
      <alignment horizontal="center"/>
    </xf>
    <xf numFmtId="0" fontId="22" fillId="2" borderId="32" xfId="0" applyFont="1" applyFill="1" applyBorder="1" applyAlignment="1">
      <alignment vertical="top" wrapText="1"/>
    </xf>
    <xf numFmtId="43" fontId="10" fillId="0" borderId="50" xfId="1" applyFont="1" applyBorder="1" applyAlignment="1">
      <alignment horizontal="center" vertical="center"/>
    </xf>
    <xf numFmtId="43" fontId="46" fillId="0" borderId="50" xfId="1" applyFont="1" applyBorder="1" applyAlignment="1">
      <alignment horizontal="center" vertical="center"/>
    </xf>
    <xf numFmtId="169" fontId="46" fillId="0" borderId="52" xfId="0" applyNumberFormat="1" applyFont="1" applyBorder="1" applyAlignment="1">
      <alignment horizontal="center"/>
    </xf>
    <xf numFmtId="169" fontId="47" fillId="0" borderId="0" xfId="0" applyNumberFormat="1" applyFont="1" applyAlignment="1">
      <alignment horizontal="center"/>
    </xf>
    <xf numFmtId="169" fontId="13" fillId="0" borderId="58" xfId="0" applyNumberFormat="1" applyFont="1" applyBorder="1" applyAlignment="1">
      <alignment horizontal="center"/>
    </xf>
    <xf numFmtId="43" fontId="45" fillId="0" borderId="59" xfId="1"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2" xfId="0" applyFont="1" applyBorder="1" applyAlignment="1">
      <alignment horizontal="center" vertical="center" wrapText="1"/>
    </xf>
    <xf numFmtId="0" fontId="38" fillId="0" borderId="0" xfId="0" applyFont="1" applyAlignment="1" applyProtection="1">
      <alignment horizontal="right"/>
      <protection locked="0"/>
    </xf>
    <xf numFmtId="0" fontId="21" fillId="0" borderId="0" xfId="6" applyFont="1" applyAlignment="1">
      <alignment horizontal="center"/>
    </xf>
    <xf numFmtId="0" fontId="21" fillId="0" borderId="0" xfId="6" applyFont="1"/>
    <xf numFmtId="164" fontId="4" fillId="8" borderId="5" xfId="1" applyNumberFormat="1" applyFont="1" applyFill="1" applyBorder="1"/>
    <xf numFmtId="166" fontId="4" fillId="8" borderId="6" xfId="0" applyNumberFormat="1" applyFont="1" applyFill="1" applyBorder="1"/>
    <xf numFmtId="0" fontId="17" fillId="2" borderId="6" xfId="14" applyFont="1" applyFill="1" applyBorder="1" applyAlignment="1" applyProtection="1">
      <alignment vertical="top" wrapText="1"/>
      <protection locked="0"/>
    </xf>
    <xf numFmtId="0" fontId="9" fillId="2" borderId="7" xfId="11" applyFont="1" applyFill="1" applyBorder="1" applyAlignment="1" applyProtection="1">
      <alignment horizontal="left" vertical="center"/>
      <protection locked="0"/>
    </xf>
    <xf numFmtId="169" fontId="4" fillId="0" borderId="14" xfId="0" applyNumberFormat="1" applyFont="1" applyBorder="1"/>
    <xf numFmtId="166" fontId="4" fillId="0" borderId="13" xfId="0" applyNumberFormat="1" applyFont="1" applyBorder="1"/>
    <xf numFmtId="166" fontId="4" fillId="0" borderId="1" xfId="0" applyNumberFormat="1" applyFont="1" applyBorder="1"/>
    <xf numFmtId="0" fontId="9" fillId="0" borderId="1" xfId="10" applyFont="1" applyBorder="1" applyAlignment="1" applyProtection="1">
      <alignment horizontal="left" vertical="center"/>
      <protection locked="0"/>
    </xf>
    <xf numFmtId="0" fontId="4" fillId="0" borderId="15" xfId="0" applyFont="1" applyBorder="1" applyAlignment="1">
      <alignment vertical="center"/>
    </xf>
    <xf numFmtId="0" fontId="9" fillId="2" borderId="1" xfId="10" applyFont="1" applyFill="1" applyBorder="1" applyAlignment="1" applyProtection="1">
      <alignment horizontal="left" vertical="center"/>
      <protection locked="0"/>
    </xf>
    <xf numFmtId="9" fontId="49" fillId="0" borderId="1" xfId="0" applyNumberFormat="1" applyFont="1" applyBorder="1" applyAlignment="1">
      <alignment horizontal="center" vertical="center"/>
    </xf>
    <xf numFmtId="0" fontId="4" fillId="0" borderId="63" xfId="0" applyFont="1" applyBorder="1"/>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xf numFmtId="0" fontId="4" fillId="0" borderId="65" xfId="0" applyFont="1" applyBorder="1"/>
    <xf numFmtId="0" fontId="35"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166" fontId="4" fillId="8" borderId="66" xfId="0" applyNumberFormat="1" applyFont="1" applyFill="1" applyBorder="1"/>
    <xf numFmtId="166" fontId="4" fillId="8" borderId="5" xfId="0" applyNumberFormat="1" applyFont="1" applyFill="1" applyBorder="1"/>
    <xf numFmtId="166" fontId="4" fillId="8" borderId="7" xfId="0" applyNumberFormat="1" applyFont="1" applyFill="1" applyBorder="1"/>
    <xf numFmtId="0" fontId="17" fillId="2" borderId="5" xfId="14" applyFont="1" applyFill="1" applyBorder="1" applyProtection="1">
      <protection locked="0"/>
    </xf>
    <xf numFmtId="166" fontId="4" fillId="8" borderId="67" xfId="0" applyNumberFormat="1" applyFont="1" applyFill="1" applyBorder="1"/>
    <xf numFmtId="166" fontId="4" fillId="0" borderId="10" xfId="0" applyNumberFormat="1" applyFont="1" applyBorder="1"/>
    <xf numFmtId="166" fontId="4" fillId="0" borderId="14" xfId="0" applyNumberFormat="1" applyFont="1" applyBorder="1"/>
    <xf numFmtId="166" fontId="4" fillId="0" borderId="15" xfId="0" applyNumberFormat="1" applyFont="1" applyBorder="1"/>
    <xf numFmtId="0" fontId="9" fillId="2" borderId="14" xfId="10" applyFont="1" applyFill="1" applyBorder="1" applyAlignment="1" applyProtection="1">
      <alignment horizontal="left" vertical="center"/>
      <protection locked="0"/>
    </xf>
    <xf numFmtId="0" fontId="9" fillId="2" borderId="15" xfId="12" applyFont="1" applyFill="1" applyBorder="1" applyAlignment="1" applyProtection="1">
      <alignment horizontal="right" vertical="center"/>
      <protection locked="0"/>
    </xf>
    <xf numFmtId="166" fontId="4" fillId="0" borderId="10" xfId="0" applyNumberFormat="1" applyFont="1" applyBorder="1" applyAlignment="1">
      <alignment wrapText="1"/>
    </xf>
    <xf numFmtId="164" fontId="9" fillId="2" borderId="14" xfId="15" applyNumberFormat="1" applyFont="1" applyFill="1" applyBorder="1" applyAlignment="1" applyProtection="1">
      <alignment horizontal="center" vertical="center" wrapText="1"/>
      <protection locked="0"/>
    </xf>
    <xf numFmtId="164" fontId="9" fillId="2" borderId="1" xfId="15" applyNumberFormat="1" applyFont="1" applyFill="1" applyBorder="1" applyAlignment="1" applyProtection="1">
      <alignment horizontal="center" vertical="center" wrapText="1"/>
      <protection locked="0"/>
    </xf>
    <xf numFmtId="164" fontId="9" fillId="2" borderId="15" xfId="15" applyNumberFormat="1" applyFont="1" applyFill="1" applyBorder="1" applyAlignment="1" applyProtection="1">
      <alignment horizontal="center" vertical="center" wrapText="1"/>
      <protection locked="0"/>
    </xf>
    <xf numFmtId="0" fontId="9" fillId="0" borderId="1" xfId="10" applyFont="1" applyBorder="1" applyAlignment="1" applyProtection="1">
      <alignment horizontal="center" vertical="center" wrapText="1"/>
      <protection locked="0"/>
    </xf>
    <xf numFmtId="0" fontId="4" fillId="0" borderId="14" xfId="0" applyFont="1" applyBorder="1" applyAlignment="1">
      <alignment horizontal="center" vertical="center"/>
    </xf>
    <xf numFmtId="0" fontId="4" fillId="0" borderId="34" xfId="0" applyFont="1" applyBorder="1"/>
    <xf numFmtId="0" fontId="4" fillId="0" borderId="23" xfId="0" applyFont="1" applyBorder="1"/>
    <xf numFmtId="9" fontId="4" fillId="8" borderId="5" xfId="2" applyFont="1" applyFill="1" applyBorder="1"/>
    <xf numFmtId="0" fontId="35" fillId="0" borderId="6" xfId="0" applyFont="1" applyBorder="1" applyAlignment="1">
      <alignment vertical="top" wrapText="1"/>
    </xf>
    <xf numFmtId="0" fontId="4" fillId="0" borderId="7" xfId="0" applyFont="1" applyBorder="1"/>
    <xf numFmtId="9" fontId="4" fillId="0" borderId="14" xfId="2" applyFont="1" applyBorder="1"/>
    <xf numFmtId="0" fontId="4" fillId="0" borderId="15" xfId="0" applyFont="1" applyBorder="1"/>
    <xf numFmtId="0" fontId="33" fillId="0" borderId="0" xfId="0" applyFont="1" applyAlignment="1">
      <alignment wrapText="1"/>
    </xf>
    <xf numFmtId="0" fontId="4" fillId="0" borderId="25" xfId="0" applyFont="1" applyBorder="1"/>
    <xf numFmtId="0" fontId="4" fillId="0" borderId="34" xfId="0" applyFont="1" applyBorder="1" applyAlignment="1">
      <alignment wrapText="1"/>
    </xf>
    <xf numFmtId="0" fontId="4" fillId="0" borderId="42" xfId="0" applyFont="1" applyBorder="1" applyAlignment="1">
      <alignment wrapText="1"/>
    </xf>
    <xf numFmtId="0" fontId="4" fillId="0" borderId="22" xfId="0" applyFont="1" applyBorder="1" applyAlignment="1">
      <alignment wrapText="1"/>
    </xf>
    <xf numFmtId="0" fontId="4" fillId="0" borderId="22" xfId="0" applyFont="1" applyBorder="1"/>
    <xf numFmtId="43" fontId="4" fillId="0" borderId="0" xfId="0" applyNumberFormat="1" applyFont="1"/>
    <xf numFmtId="9" fontId="4" fillId="0" borderId="71" xfId="2" applyFont="1" applyBorder="1" applyAlignment="1">
      <alignment vertical="center"/>
    </xf>
    <xf numFmtId="9" fontId="4" fillId="0" borderId="72" xfId="2" applyFont="1" applyBorder="1" applyAlignment="1">
      <alignment vertical="center"/>
    </xf>
    <xf numFmtId="167" fontId="16" fillId="4" borderId="27" xfId="5" applyBorder="1"/>
    <xf numFmtId="167" fontId="16" fillId="4" borderId="28" xfId="5" applyBorder="1"/>
    <xf numFmtId="0" fontId="4" fillId="0" borderId="72" xfId="0" applyFont="1" applyBorder="1" applyAlignment="1">
      <alignment vertical="center"/>
    </xf>
    <xf numFmtId="0" fontId="4" fillId="0" borderId="73" xfId="0" applyFont="1" applyBorder="1" applyAlignment="1">
      <alignment horizontal="center" vertical="center"/>
    </xf>
    <xf numFmtId="43" fontId="4" fillId="0" borderId="8" xfId="1" applyFont="1" applyBorder="1" applyAlignment="1">
      <alignment vertical="center"/>
    </xf>
    <xf numFmtId="43" fontId="4" fillId="0" borderId="3" xfId="1" applyFont="1" applyBorder="1" applyAlignment="1">
      <alignment vertical="center"/>
    </xf>
    <xf numFmtId="164" fontId="4" fillId="0" borderId="3" xfId="1" applyNumberFormat="1" applyFont="1" applyBorder="1" applyAlignment="1">
      <alignment vertical="center"/>
    </xf>
    <xf numFmtId="167" fontId="16" fillId="4" borderId="43" xfId="5" applyBorder="1"/>
    <xf numFmtId="167" fontId="16" fillId="4" borderId="44" xfId="5" applyBorder="1"/>
    <xf numFmtId="167" fontId="16" fillId="4" borderId="74" xfId="5" applyBorder="1"/>
    <xf numFmtId="0" fontId="4" fillId="0" borderId="3" xfId="0" applyFont="1" applyBorder="1" applyAlignment="1">
      <alignment vertical="center"/>
    </xf>
    <xf numFmtId="0" fontId="4" fillId="0" borderId="9" xfId="0" applyFont="1" applyBorder="1" applyAlignment="1">
      <alignment horizontal="center" vertical="center"/>
    </xf>
    <xf numFmtId="43" fontId="4" fillId="0" borderId="34" xfId="1" applyFont="1" applyBorder="1" applyAlignment="1">
      <alignment vertical="center"/>
    </xf>
    <xf numFmtId="43" fontId="4" fillId="0" borderId="42" xfId="1" applyFont="1" applyBorder="1" applyAlignment="1">
      <alignment vertical="center"/>
    </xf>
    <xf numFmtId="164" fontId="4" fillId="0" borderId="42" xfId="1" applyNumberFormat="1" applyFont="1" applyBorder="1" applyAlignment="1">
      <alignment vertical="center"/>
    </xf>
    <xf numFmtId="167" fontId="16" fillId="4" borderId="64" xfId="5" applyBorder="1"/>
    <xf numFmtId="167" fontId="16" fillId="4" borderId="65" xfId="5" applyBorder="1"/>
    <xf numFmtId="0" fontId="4" fillId="0" borderId="42" xfId="0" applyFont="1" applyBorder="1" applyAlignment="1">
      <alignment vertical="center"/>
    </xf>
    <xf numFmtId="0" fontId="4" fillId="0" borderId="23" xfId="0" applyFont="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top" wrapText="1"/>
    </xf>
    <xf numFmtId="0" fontId="4" fillId="2" borderId="63" xfId="0" applyFont="1" applyFill="1" applyBorder="1" applyAlignment="1">
      <alignment horizontal="center" vertical="center"/>
    </xf>
    <xf numFmtId="164" fontId="4" fillId="0" borderId="5" xfId="1" applyNumberFormat="1" applyFont="1" applyBorder="1" applyAlignment="1">
      <alignment vertical="center"/>
    </xf>
    <xf numFmtId="164" fontId="4" fillId="0" borderId="41" xfId="1" applyNumberFormat="1" applyFont="1" applyBorder="1" applyAlignment="1">
      <alignment vertical="center"/>
    </xf>
    <xf numFmtId="164" fontId="4" fillId="0" borderId="13" xfId="1" applyNumberFormat="1" applyFont="1" applyBorder="1" applyAlignment="1">
      <alignment vertical="center"/>
    </xf>
    <xf numFmtId="164" fontId="4" fillId="0" borderId="6" xfId="1" applyNumberFormat="1" applyFont="1" applyBorder="1" applyAlignment="1">
      <alignment vertical="center"/>
    </xf>
    <xf numFmtId="0" fontId="35" fillId="0" borderId="6" xfId="0" applyFont="1" applyBorder="1" applyAlignment="1">
      <alignment vertical="center"/>
    </xf>
    <xf numFmtId="0" fontId="4" fillId="0" borderId="7" xfId="0" applyFont="1" applyBorder="1" applyAlignment="1">
      <alignment horizontal="center" vertical="center"/>
    </xf>
    <xf numFmtId="164" fontId="4" fillId="0" borderId="14" xfId="1" applyNumberFormat="1" applyFont="1" applyBorder="1" applyAlignment="1">
      <alignment vertical="center"/>
    </xf>
    <xf numFmtId="0" fontId="4" fillId="0" borderId="1" xfId="0" applyFont="1" applyBorder="1" applyAlignment="1">
      <alignment vertical="center"/>
    </xf>
    <xf numFmtId="164" fontId="4" fillId="0" borderId="13" xfId="0" applyNumberFormat="1" applyFont="1" applyBorder="1" applyAlignment="1">
      <alignment vertical="center"/>
    </xf>
    <xf numFmtId="164" fontId="4" fillId="0" borderId="1" xfId="0" applyNumberFormat="1" applyFont="1" applyBorder="1" applyAlignment="1">
      <alignment vertical="center"/>
    </xf>
    <xf numFmtId="164" fontId="4" fillId="2" borderId="10" xfId="1" applyNumberFormat="1" applyFont="1" applyFill="1" applyBorder="1" applyAlignment="1">
      <alignment vertical="center"/>
    </xf>
    <xf numFmtId="164" fontId="4" fillId="2" borderId="11" xfId="1" applyNumberFormat="1" applyFont="1" applyFill="1" applyBorder="1" applyAlignment="1">
      <alignment vertical="center"/>
    </xf>
    <xf numFmtId="164" fontId="4" fillId="2" borderId="11" xfId="0" applyNumberFormat="1" applyFont="1" applyFill="1" applyBorder="1" applyAlignment="1">
      <alignment vertical="center"/>
    </xf>
    <xf numFmtId="0" fontId="4" fillId="2" borderId="11" xfId="0" applyFont="1" applyFill="1" applyBorder="1" applyAlignment="1">
      <alignment vertical="center"/>
    </xf>
    <xf numFmtId="0" fontId="35" fillId="2" borderId="12" xfId="0" applyFont="1" applyFill="1" applyBorder="1" applyAlignment="1">
      <alignment vertical="center"/>
    </xf>
    <xf numFmtId="0" fontId="35" fillId="0" borderId="1" xfId="0" applyFont="1" applyBorder="1" applyAlignment="1">
      <alignment vertical="center"/>
    </xf>
    <xf numFmtId="164" fontId="4" fillId="0" borderId="24" xfId="1" applyNumberFormat="1" applyFont="1" applyBorder="1" applyAlignment="1">
      <alignment vertical="center"/>
    </xf>
    <xf numFmtId="164" fontId="4" fillId="0" borderId="19" xfId="1" applyNumberFormat="1" applyFont="1" applyBorder="1" applyAlignment="1">
      <alignment vertical="center"/>
    </xf>
    <xf numFmtId="167" fontId="16" fillId="4" borderId="0" xfId="5"/>
    <xf numFmtId="0" fontId="4" fillId="0" borderId="25" xfId="0" applyFont="1" applyBorder="1" applyAlignment="1">
      <alignment vertical="center"/>
    </xf>
    <xf numFmtId="0" fontId="4" fillId="0" borderId="40" xfId="0" applyFont="1" applyBorder="1" applyAlignment="1">
      <alignment horizontal="center" vertical="center"/>
    </xf>
    <xf numFmtId="0" fontId="4" fillId="2" borderId="10" xfId="0" applyFont="1" applyFill="1" applyBorder="1" applyAlignment="1">
      <alignment vertical="center"/>
    </xf>
    <xf numFmtId="0" fontId="4" fillId="0" borderId="14" xfId="0" applyFont="1" applyBorder="1" applyAlignment="1">
      <alignment horizontal="center" vertical="center" wrapText="1"/>
    </xf>
    <xf numFmtId="0" fontId="50" fillId="2" borderId="2" xfId="0" applyFont="1" applyFill="1" applyBorder="1" applyAlignment="1">
      <alignment horizontal="left"/>
    </xf>
    <xf numFmtId="0" fontId="50" fillId="2" borderId="21" xfId="0" applyFont="1" applyFill="1" applyBorder="1" applyAlignment="1">
      <alignment horizontal="left"/>
    </xf>
    <xf numFmtId="0" fontId="4" fillId="0" borderId="0" xfId="0" applyFont="1" applyAlignment="1">
      <alignment horizontal="left"/>
    </xf>
    <xf numFmtId="164" fontId="40" fillId="7" borderId="0" xfId="1" applyNumberFormat="1" applyFont="1" applyFill="1"/>
    <xf numFmtId="166" fontId="13" fillId="0" borderId="0" xfId="0" applyNumberFormat="1" applyFont="1"/>
    <xf numFmtId="0" fontId="13" fillId="0" borderId="0" xfId="0" applyFont="1" applyAlignment="1">
      <alignment vertical="top" wrapText="1"/>
    </xf>
    <xf numFmtId="164" fontId="21" fillId="8" borderId="5" xfId="15" applyNumberFormat="1" applyFont="1" applyFill="1" applyBorder="1" applyAlignment="1" applyProtection="1">
      <protection locked="0"/>
    </xf>
    <xf numFmtId="166" fontId="11" fillId="2" borderId="6" xfId="12" applyNumberFormat="1" applyFont="1" applyFill="1" applyBorder="1" applyProtection="1">
      <protection locked="0"/>
    </xf>
    <xf numFmtId="166" fontId="21" fillId="8" borderId="6" xfId="15" applyNumberFormat="1" applyFont="1" applyFill="1" applyBorder="1" applyAlignment="1" applyProtection="1">
      <protection locked="0"/>
    </xf>
    <xf numFmtId="3" fontId="21" fillId="8" borderId="6" xfId="14" applyNumberFormat="1" applyFont="1" applyFill="1" applyBorder="1" applyProtection="1">
      <protection locked="0"/>
    </xf>
    <xf numFmtId="166" fontId="21" fillId="8" borderId="6" xfId="14" applyNumberFormat="1" applyFont="1" applyFill="1" applyBorder="1" applyProtection="1">
      <protection locked="0"/>
    </xf>
    <xf numFmtId="0" fontId="21" fillId="2" borderId="6" xfId="14" applyFont="1" applyFill="1" applyBorder="1" applyProtection="1">
      <protection locked="0"/>
    </xf>
    <xf numFmtId="0" fontId="11" fillId="2" borderId="7" xfId="11" applyFont="1" applyFill="1" applyBorder="1" applyAlignment="1" applyProtection="1">
      <alignment horizontal="right" vertical="center"/>
      <protection locked="0"/>
    </xf>
    <xf numFmtId="3" fontId="11" fillId="8" borderId="14" xfId="12" applyNumberFormat="1" applyFont="1" applyFill="1" applyBorder="1" applyProtection="1">
      <protection locked="0"/>
    </xf>
    <xf numFmtId="166" fontId="11" fillId="2" borderId="1" xfId="12" applyNumberFormat="1" applyFont="1" applyFill="1" applyBorder="1" applyProtection="1">
      <protection locked="0"/>
    </xf>
    <xf numFmtId="166" fontId="11" fillId="0" borderId="1" xfId="15" applyNumberFormat="1" applyFont="1" applyFill="1" applyBorder="1" applyProtection="1">
      <protection locked="0"/>
    </xf>
    <xf numFmtId="165" fontId="11" fillId="11" borderId="1" xfId="8" applyNumberFormat="1" applyFont="1" applyFill="1" applyBorder="1" applyAlignment="1" applyProtection="1">
      <alignment horizontal="right" wrapText="1"/>
      <protection locked="0"/>
    </xf>
    <xf numFmtId="0" fontId="11" fillId="0" borderId="1" xfId="10" applyFont="1" applyBorder="1" applyAlignment="1" applyProtection="1">
      <alignment horizontal="left" vertical="center" wrapText="1"/>
      <protection locked="0"/>
    </xf>
    <xf numFmtId="0" fontId="11" fillId="2" borderId="15" xfId="12" applyFont="1" applyFill="1" applyBorder="1" applyAlignment="1" applyProtection="1">
      <alignment horizontal="right" vertical="center"/>
      <protection locked="0"/>
    </xf>
    <xf numFmtId="166" fontId="11" fillId="8" borderId="1" xfId="15" applyNumberFormat="1" applyFont="1" applyFill="1" applyBorder="1" applyProtection="1">
      <protection locked="0"/>
    </xf>
    <xf numFmtId="165" fontId="11" fillId="2" borderId="1" xfId="8" applyNumberFormat="1" applyFont="1" applyFill="1" applyBorder="1" applyAlignment="1" applyProtection="1">
      <alignment horizontal="right" wrapText="1"/>
      <protection locked="0"/>
    </xf>
    <xf numFmtId="0" fontId="11" fillId="2" borderId="1" xfId="12" applyFont="1" applyFill="1" applyBorder="1" applyProtection="1">
      <protection locked="0"/>
    </xf>
    <xf numFmtId="166" fontId="11" fillId="8" borderId="1" xfId="12" applyNumberFormat="1" applyFont="1" applyFill="1" applyBorder="1" applyProtection="1">
      <protection locked="0"/>
    </xf>
    <xf numFmtId="0" fontId="21" fillId="0" borderId="1" xfId="10" applyFont="1" applyBorder="1" applyAlignment="1" applyProtection="1">
      <alignment wrapText="1"/>
      <protection locked="0"/>
    </xf>
    <xf numFmtId="0" fontId="11" fillId="2" borderId="1" xfId="10" applyFont="1" applyFill="1" applyBorder="1" applyAlignment="1" applyProtection="1">
      <alignment horizontal="left" vertical="center" wrapText="1"/>
      <protection locked="0"/>
    </xf>
    <xf numFmtId="0" fontId="21" fillId="2" borderId="1" xfId="10" applyFont="1" applyFill="1" applyBorder="1" applyAlignment="1" applyProtection="1">
      <alignment wrapText="1"/>
      <protection locked="0"/>
    </xf>
    <xf numFmtId="0" fontId="11" fillId="2" borderId="14" xfId="10" applyFont="1" applyFill="1" applyBorder="1" applyAlignment="1" applyProtection="1">
      <alignment horizontal="center" vertical="center" wrapText="1"/>
      <protection locked="0"/>
    </xf>
    <xf numFmtId="9" fontId="11" fillId="2" borderId="1" xfId="16" applyNumberFormat="1" applyFont="1" applyFill="1" applyBorder="1" applyAlignment="1" applyProtection="1">
      <alignment horizontal="center" vertical="center"/>
      <protection locked="0"/>
    </xf>
    <xf numFmtId="3" fontId="11" fillId="2" borderId="1" xfId="15" applyNumberFormat="1" applyFont="1" applyFill="1" applyBorder="1" applyAlignment="1" applyProtection="1">
      <alignment horizontal="center" vertical="center" wrapText="1"/>
      <protection locked="0"/>
    </xf>
    <xf numFmtId="0" fontId="11" fillId="2" borderId="1" xfId="10" applyFont="1" applyFill="1" applyBorder="1" applyAlignment="1" applyProtection="1">
      <alignment horizontal="center" vertical="center" wrapText="1"/>
      <protection locked="0"/>
    </xf>
    <xf numFmtId="0" fontId="11" fillId="0" borderId="1" xfId="10" applyFont="1" applyBorder="1" applyAlignment="1" applyProtection="1">
      <alignment horizontal="center" vertical="center" wrapText="1"/>
      <protection locked="0"/>
    </xf>
    <xf numFmtId="0" fontId="11" fillId="2" borderId="15" xfId="12" applyFont="1" applyFill="1" applyBorder="1" applyAlignment="1" applyProtection="1">
      <alignment horizontal="left" vertical="center"/>
      <protection locked="0"/>
    </xf>
    <xf numFmtId="0" fontId="33" fillId="0" borderId="0" xfId="0" applyFont="1" applyAlignment="1">
      <alignment horizontal="center"/>
    </xf>
    <xf numFmtId="0" fontId="4" fillId="0" borderId="34" xfId="0" applyFont="1" applyBorder="1" applyAlignment="1">
      <alignment horizontal="center"/>
    </xf>
    <xf numFmtId="0" fontId="4" fillId="0" borderId="22" xfId="0" applyFont="1" applyBorder="1" applyAlignment="1">
      <alignment horizontal="center"/>
    </xf>
    <xf numFmtId="0" fontId="4" fillId="0" borderId="64" xfId="0" applyFont="1" applyBorder="1" applyAlignment="1">
      <alignment horizontal="center"/>
    </xf>
    <xf numFmtId="0" fontId="4" fillId="0" borderId="65" xfId="0" applyFont="1" applyBorder="1" applyAlignment="1">
      <alignment horizontal="center"/>
    </xf>
    <xf numFmtId="0" fontId="45" fillId="0" borderId="0" xfId="0" applyFont="1"/>
    <xf numFmtId="0" fontId="49" fillId="0" borderId="0" xfId="0" applyFont="1" applyAlignment="1">
      <alignment wrapText="1"/>
    </xf>
    <xf numFmtId="164" fontId="51" fillId="2" borderId="1" xfId="17" applyNumberFormat="1" applyFont="1" applyFill="1" applyBorder="1" applyAlignment="1" applyProtection="1">
      <alignment horizontal="right" vertical="center"/>
      <protection locked="0"/>
    </xf>
    <xf numFmtId="0" fontId="51" fillId="12" borderId="29" xfId="18" applyFont="1" applyFill="1" applyBorder="1" applyAlignment="1" applyProtection="1">
      <alignment horizontal="left" vertical="center" wrapText="1"/>
      <protection locked="0"/>
    </xf>
    <xf numFmtId="0" fontId="52" fillId="12" borderId="1" xfId="18" applyFont="1" applyFill="1" applyBorder="1" applyAlignment="1" applyProtection="1">
      <alignment horizontal="center" vertical="center"/>
      <protection locked="0"/>
    </xf>
    <xf numFmtId="0" fontId="51" fillId="12" borderId="29" xfId="18" applyFont="1" applyFill="1" applyBorder="1" applyAlignment="1" applyProtection="1">
      <alignment vertical="center" wrapText="1"/>
      <protection locked="0"/>
    </xf>
    <xf numFmtId="0" fontId="53" fillId="12" borderId="1" xfId="18" applyFont="1" applyFill="1" applyBorder="1" applyAlignment="1" applyProtection="1">
      <alignment horizontal="center" vertical="center"/>
      <protection locked="0"/>
    </xf>
    <xf numFmtId="164" fontId="54" fillId="13" borderId="29" xfId="17" applyNumberFormat="1" applyFont="1" applyFill="1" applyBorder="1" applyAlignment="1" applyProtection="1">
      <alignment horizontal="right" vertical="center"/>
      <protection locked="0"/>
    </xf>
    <xf numFmtId="0" fontId="54" fillId="13" borderId="13" xfId="18" applyFont="1" applyFill="1" applyBorder="1" applyProtection="1">
      <alignment vertical="center"/>
      <protection locked="0"/>
    </xf>
    <xf numFmtId="43" fontId="51" fillId="10" borderId="1" xfId="1" applyFont="1" applyFill="1" applyBorder="1" applyAlignment="1" applyProtection="1">
      <alignment horizontal="right" vertical="center"/>
    </xf>
    <xf numFmtId="0" fontId="55" fillId="10" borderId="29" xfId="18" applyFont="1" applyFill="1" applyBorder="1" applyAlignment="1" applyProtection="1">
      <alignment vertical="center" wrapText="1"/>
      <protection locked="0"/>
    </xf>
    <xf numFmtId="0" fontId="56" fillId="10" borderId="1" xfId="18" applyFont="1" applyFill="1" applyBorder="1" applyAlignment="1" applyProtection="1">
      <alignment horizontal="center" vertical="center"/>
      <protection locked="0"/>
    </xf>
    <xf numFmtId="164" fontId="51" fillId="10" borderId="1" xfId="17" applyNumberFormat="1" applyFont="1" applyFill="1" applyBorder="1" applyAlignment="1" applyProtection="1">
      <alignment horizontal="right" vertical="center"/>
    </xf>
    <xf numFmtId="0" fontId="55" fillId="13" borderId="13" xfId="18" applyFont="1" applyFill="1" applyBorder="1" applyProtection="1">
      <alignment vertical="center"/>
      <protection locked="0"/>
    </xf>
    <xf numFmtId="0" fontId="53" fillId="12" borderId="4" xfId="18" applyFont="1" applyFill="1" applyBorder="1" applyAlignment="1" applyProtection="1">
      <alignment horizontal="center" vertical="center"/>
      <protection locked="0"/>
    </xf>
    <xf numFmtId="0" fontId="55" fillId="13" borderId="13" xfId="18" applyFont="1" applyFill="1" applyBorder="1" applyAlignment="1" applyProtection="1">
      <alignment horizontal="center" vertical="center"/>
      <protection locked="0"/>
    </xf>
    <xf numFmtId="164" fontId="51" fillId="0" borderId="1" xfId="17" applyNumberFormat="1" applyFont="1" applyFill="1" applyBorder="1" applyAlignment="1" applyProtection="1">
      <alignment horizontal="right" vertical="center"/>
      <protection locked="0"/>
    </xf>
    <xf numFmtId="0" fontId="51" fillId="0" borderId="29" xfId="18" applyFont="1" applyBorder="1" applyAlignment="1" applyProtection="1">
      <alignment horizontal="left" vertical="center" wrapText="1"/>
      <protection locked="0"/>
    </xf>
    <xf numFmtId="0" fontId="53" fillId="2" borderId="4" xfId="18" applyFont="1" applyFill="1" applyBorder="1" applyAlignment="1" applyProtection="1">
      <alignment horizontal="center" vertical="center"/>
      <protection locked="0"/>
    </xf>
    <xf numFmtId="0" fontId="51" fillId="12" borderId="29" xfId="18" applyFont="1" applyFill="1" applyBorder="1" applyAlignment="1" applyProtection="1">
      <alignment vertical="top" wrapText="1"/>
      <protection locked="0"/>
    </xf>
    <xf numFmtId="164" fontId="55" fillId="13" borderId="29" xfId="17" applyNumberFormat="1" applyFont="1" applyFill="1" applyBorder="1" applyAlignment="1" applyProtection="1">
      <alignment horizontal="right" vertical="center"/>
      <protection locked="0"/>
    </xf>
    <xf numFmtId="0" fontId="51" fillId="2" borderId="29" xfId="18" applyFont="1" applyFill="1" applyBorder="1" applyAlignment="1" applyProtection="1">
      <alignment horizontal="left" vertical="center" wrapText="1"/>
      <protection locked="0"/>
    </xf>
    <xf numFmtId="0" fontId="53" fillId="0" borderId="4" xfId="18" applyFont="1" applyBorder="1" applyAlignment="1" applyProtection="1">
      <alignment horizontal="center" vertical="center"/>
      <protection locked="0"/>
    </xf>
    <xf numFmtId="0" fontId="51" fillId="0" borderId="29" xfId="18" applyFont="1" applyBorder="1" applyAlignment="1" applyProtection="1">
      <alignment vertical="center" wrapText="1"/>
      <protection locked="0"/>
    </xf>
    <xf numFmtId="0" fontId="55" fillId="10" borderId="29" xfId="18" applyFont="1" applyFill="1" applyBorder="1" applyAlignment="1" applyProtection="1">
      <alignment vertical="top" wrapText="1"/>
      <protection locked="0"/>
    </xf>
    <xf numFmtId="0" fontId="55" fillId="10" borderId="1" xfId="18" applyFont="1" applyFill="1" applyBorder="1" applyAlignment="1" applyProtection="1">
      <alignment horizontal="center" vertical="center"/>
      <protection locked="0"/>
    </xf>
    <xf numFmtId="0" fontId="51" fillId="12" borderId="4" xfId="18" applyFont="1" applyFill="1" applyBorder="1" applyAlignment="1" applyProtection="1">
      <alignment horizontal="center" vertical="center"/>
      <protection locked="0"/>
    </xf>
    <xf numFmtId="0" fontId="54" fillId="13" borderId="29" xfId="18" applyFont="1" applyFill="1" applyBorder="1" applyProtection="1">
      <alignment vertical="center"/>
      <protection locked="0"/>
    </xf>
    <xf numFmtId="0" fontId="55" fillId="13" borderId="13" xfId="18" applyFont="1" applyFill="1" applyBorder="1" applyAlignment="1" applyProtection="1">
      <alignment vertical="center" wrapText="1"/>
      <protection locked="0"/>
    </xf>
    <xf numFmtId="164" fontId="4" fillId="0" borderId="0" xfId="0" applyNumberFormat="1" applyFont="1"/>
    <xf numFmtId="10" fontId="35" fillId="0" borderId="5" xfId="2" applyNumberFormat="1" applyFont="1" applyBorder="1"/>
    <xf numFmtId="167" fontId="16" fillId="4" borderId="41" xfId="5" applyBorder="1"/>
    <xf numFmtId="0" fontId="35" fillId="0" borderId="6" xfId="0" applyFont="1" applyBorder="1" applyAlignment="1">
      <alignment wrapText="1"/>
    </xf>
    <xf numFmtId="0" fontId="35" fillId="0" borderId="7" xfId="0" applyFont="1" applyBorder="1"/>
    <xf numFmtId="0" fontId="4" fillId="2" borderId="76" xfId="0" applyFont="1" applyFill="1" applyBorder="1"/>
    <xf numFmtId="0" fontId="4" fillId="2" borderId="0" xfId="0" applyFont="1" applyFill="1"/>
    <xf numFmtId="0" fontId="4" fillId="2" borderId="0" xfId="0" applyFont="1" applyFill="1" applyAlignment="1">
      <alignment wrapText="1"/>
    </xf>
    <xf numFmtId="0" fontId="4" fillId="2" borderId="63" xfId="0" applyFont="1" applyFill="1" applyBorder="1"/>
    <xf numFmtId="164" fontId="35" fillId="0" borderId="14" xfId="1" applyNumberFormat="1" applyFont="1" applyBorder="1"/>
    <xf numFmtId="167" fontId="16" fillId="4" borderId="1" xfId="5" applyBorder="1"/>
    <xf numFmtId="0" fontId="35" fillId="0" borderId="1" xfId="0" applyFont="1" applyBorder="1" applyAlignment="1">
      <alignment wrapText="1"/>
    </xf>
    <xf numFmtId="0" fontId="35" fillId="0" borderId="15" xfId="0" applyFont="1" applyBorder="1"/>
    <xf numFmtId="164" fontId="4" fillId="0" borderId="14" xfId="1" applyNumberFormat="1" applyFont="1" applyBorder="1"/>
    <xf numFmtId="0" fontId="4" fillId="0" borderId="1" xfId="0" applyFont="1" applyBorder="1" applyAlignment="1">
      <alignment wrapText="1"/>
    </xf>
    <xf numFmtId="0" fontId="50" fillId="0" borderId="1" xfId="0" applyFont="1" applyBorder="1" applyAlignment="1">
      <alignment horizontal="left" wrapText="1" indent="2"/>
    </xf>
    <xf numFmtId="0" fontId="50" fillId="0" borderId="1" xfId="0" applyFont="1" applyBorder="1" applyAlignment="1">
      <alignment horizontal="left" wrapText="1" indent="4"/>
    </xf>
    <xf numFmtId="164" fontId="4" fillId="0" borderId="14" xfId="1" applyNumberFormat="1" applyFont="1" applyFill="1" applyBorder="1"/>
    <xf numFmtId="164" fontId="4" fillId="2" borderId="76" xfId="1" applyNumberFormat="1" applyFont="1" applyFill="1" applyBorder="1"/>
    <xf numFmtId="164" fontId="4" fillId="2" borderId="0" xfId="1" applyNumberFormat="1" applyFont="1" applyFill="1" applyBorder="1"/>
    <xf numFmtId="164" fontId="4" fillId="2" borderId="0" xfId="1" applyNumberFormat="1" applyFont="1" applyFill="1" applyBorder="1" applyAlignment="1">
      <alignment vertical="center"/>
    </xf>
    <xf numFmtId="0" fontId="35" fillId="2" borderId="0" xfId="0" applyFont="1" applyFill="1" applyAlignment="1">
      <alignment vertical="top" wrapText="1"/>
    </xf>
    <xf numFmtId="0" fontId="3" fillId="2" borderId="63" xfId="0" applyFont="1" applyFill="1" applyBorder="1" applyAlignment="1">
      <alignment horizontal="left"/>
    </xf>
    <xf numFmtId="164" fontId="4" fillId="0" borderId="1" xfId="1" applyNumberFormat="1" applyFont="1" applyBorder="1" applyAlignment="1">
      <alignment vertical="top"/>
    </xf>
    <xf numFmtId="164" fontId="4" fillId="0" borderId="1" xfId="1" applyNumberFormat="1" applyFont="1" applyBorder="1" applyAlignment="1"/>
    <xf numFmtId="0" fontId="50" fillId="0" borderId="1" xfId="0" applyFont="1" applyBorder="1" applyAlignment="1">
      <alignment horizontal="left" vertical="top" wrapText="1" indent="2"/>
    </xf>
    <xf numFmtId="43" fontId="0" fillId="0" borderId="0" xfId="1" applyFont="1"/>
    <xf numFmtId="0" fontId="4" fillId="2" borderId="76" xfId="0" applyFont="1" applyFill="1" applyBorder="1" applyAlignment="1">
      <alignment horizontal="center" vertical="center" wrapText="1"/>
    </xf>
    <xf numFmtId="0" fontId="4" fillId="2" borderId="0" xfId="0" applyFont="1" applyFill="1" applyAlignment="1">
      <alignment horizontal="center"/>
    </xf>
    <xf numFmtId="0" fontId="35" fillId="2" borderId="0" xfId="0" applyFont="1" applyFill="1" applyAlignment="1">
      <alignment horizontal="center" wrapText="1"/>
    </xf>
    <xf numFmtId="0" fontId="4" fillId="0" borderId="1" xfId="0" applyFont="1" applyBorder="1" applyAlignment="1">
      <alignment horizontal="center"/>
    </xf>
    <xf numFmtId="0" fontId="35" fillId="2" borderId="37" xfId="0" applyFont="1" applyFill="1" applyBorder="1" applyAlignment="1">
      <alignment horizontal="center" wrapText="1"/>
    </xf>
    <xf numFmtId="0" fontId="4" fillId="2" borderId="18" xfId="0" applyFont="1" applyFill="1" applyBorder="1"/>
    <xf numFmtId="0" fontId="4" fillId="2" borderId="77" xfId="0" applyFont="1" applyFill="1" applyBorder="1" applyAlignment="1">
      <alignment wrapText="1"/>
    </xf>
    <xf numFmtId="0" fontId="4" fillId="2" borderId="65" xfId="0" applyFont="1" applyFill="1" applyBorder="1"/>
    <xf numFmtId="14" fontId="4" fillId="0" borderId="0" xfId="0" applyNumberFormat="1" applyFont="1"/>
    <xf numFmtId="0" fontId="58" fillId="0" borderId="0" xfId="0" applyFont="1"/>
    <xf numFmtId="0" fontId="58" fillId="0" borderId="0" xfId="0" applyFont="1" applyAlignment="1">
      <alignment horizontal="left" vertical="top" wrapText="1"/>
    </xf>
    <xf numFmtId="43" fontId="58" fillId="0" borderId="1" xfId="1" applyFont="1" applyBorder="1"/>
    <xf numFmtId="0" fontId="61" fillId="0" borderId="1" xfId="0" applyFont="1" applyBorder="1" applyAlignment="1">
      <alignment vertical="top" wrapText="1"/>
    </xf>
    <xf numFmtId="49" fontId="62" fillId="0" borderId="1" xfId="12" applyNumberFormat="1" applyFont="1" applyBorder="1" applyAlignment="1" applyProtection="1">
      <alignment horizontal="right" vertical="center"/>
      <protection locked="0"/>
    </xf>
    <xf numFmtId="43" fontId="58" fillId="0" borderId="0" xfId="0" applyNumberFormat="1" applyFont="1"/>
    <xf numFmtId="0" fontId="58" fillId="0" borderId="1" xfId="0" applyFont="1" applyBorder="1"/>
    <xf numFmtId="43" fontId="58" fillId="0" borderId="1" xfId="0" applyNumberFormat="1" applyFont="1" applyBorder="1"/>
    <xf numFmtId="0" fontId="63" fillId="2" borderId="1" xfId="10" applyFont="1" applyFill="1" applyBorder="1" applyAlignment="1" applyProtection="1">
      <alignment horizontal="left" vertical="center" wrapText="1"/>
      <protection locked="0"/>
    </xf>
    <xf numFmtId="49" fontId="63" fillId="2" borderId="1" xfId="12" applyNumberFormat="1" applyFont="1" applyFill="1" applyBorder="1" applyAlignment="1" applyProtection="1">
      <alignment horizontal="right" vertical="center"/>
      <protection locked="0"/>
    </xf>
    <xf numFmtId="0" fontId="63" fillId="0" borderId="1" xfId="10" applyFont="1" applyBorder="1" applyAlignment="1" applyProtection="1">
      <alignment horizontal="left" vertical="center" wrapText="1"/>
      <protection locked="0"/>
    </xf>
    <xf numFmtId="49" fontId="63" fillId="0" borderId="1" xfId="12" applyNumberFormat="1" applyFont="1" applyBorder="1" applyAlignment="1" applyProtection="1">
      <alignment horizontal="right" vertical="center"/>
      <protection locked="0"/>
    </xf>
    <xf numFmtId="2" fontId="58" fillId="0" borderId="1" xfId="0" applyNumberFormat="1" applyFont="1" applyBorder="1"/>
    <xf numFmtId="0" fontId="64" fillId="0" borderId="1" xfId="10" applyFont="1" applyBorder="1" applyAlignment="1" applyProtection="1">
      <alignment horizontal="left" vertical="center" wrapText="1"/>
      <protection locked="0"/>
    </xf>
    <xf numFmtId="43" fontId="58" fillId="0" borderId="1" xfId="1" applyFont="1" applyFill="1" applyBorder="1"/>
    <xf numFmtId="0" fontId="61" fillId="0" borderId="1" xfId="0" applyFont="1" applyBorder="1" applyAlignment="1">
      <alignment horizontal="center" vertical="center" wrapText="1"/>
    </xf>
    <xf numFmtId="0" fontId="66" fillId="0" borderId="0" xfId="6" applyFont="1"/>
    <xf numFmtId="14" fontId="58" fillId="0" borderId="0" xfId="0" applyNumberFormat="1" applyFont="1" applyAlignment="1">
      <alignment horizontal="left"/>
    </xf>
    <xf numFmtId="0" fontId="67" fillId="0" borderId="0" xfId="6" applyFont="1"/>
    <xf numFmtId="0" fontId="58" fillId="0" borderId="0" xfId="0" applyFont="1" applyAlignment="1">
      <alignment wrapText="1"/>
    </xf>
    <xf numFmtId="0" fontId="60" fillId="0" borderId="0" xfId="0" applyFont="1"/>
    <xf numFmtId="0" fontId="67" fillId="0" borderId="1" xfId="0" applyFont="1" applyBorder="1"/>
    <xf numFmtId="43" fontId="67" fillId="0" borderId="1" xfId="1" applyFont="1" applyFill="1" applyBorder="1" applyAlignment="1">
      <alignment horizontal="right"/>
    </xf>
    <xf numFmtId="43" fontId="67" fillId="0" borderId="1" xfId="1" applyFont="1" applyBorder="1" applyAlignment="1">
      <alignment horizontal="right"/>
    </xf>
    <xf numFmtId="0" fontId="67" fillId="0" borderId="1" xfId="0" applyFont="1" applyBorder="1" applyAlignment="1">
      <alignment horizontal="left" indent="8"/>
    </xf>
    <xf numFmtId="0" fontId="67" fillId="0" borderId="1" xfId="0" applyFont="1" applyBorder="1" applyAlignment="1">
      <alignment wrapText="1"/>
    </xf>
    <xf numFmtId="0" fontId="67" fillId="0" borderId="1" xfId="0" applyFont="1" applyBorder="1" applyAlignment="1">
      <alignment vertical="top" wrapText="1"/>
    </xf>
    <xf numFmtId="0" fontId="61" fillId="0" borderId="0" xfId="0" applyFont="1"/>
    <xf numFmtId="0" fontId="65" fillId="0" borderId="1" xfId="0" applyFont="1" applyBorder="1"/>
    <xf numFmtId="43" fontId="65" fillId="0" borderId="1" xfId="1" applyFont="1" applyBorder="1" applyAlignment="1">
      <alignment horizontal="right"/>
    </xf>
    <xf numFmtId="49" fontId="62" fillId="0" borderId="1" xfId="12" applyNumberFormat="1" applyFont="1" applyBorder="1" applyAlignment="1" applyProtection="1">
      <alignment horizontal="right" vertical="center" wrapText="1"/>
      <protection locked="0"/>
    </xf>
    <xf numFmtId="49" fontId="63" fillId="2" borderId="1" xfId="12" applyNumberFormat="1" applyFont="1" applyFill="1" applyBorder="1" applyAlignment="1" applyProtection="1">
      <alignment horizontal="right" vertical="center" wrapText="1"/>
      <protection locked="0"/>
    </xf>
    <xf numFmtId="49" fontId="63" fillId="0" borderId="1" xfId="12" applyNumberFormat="1" applyFont="1" applyBorder="1" applyAlignment="1" applyProtection="1">
      <alignment horizontal="right" vertical="center" wrapText="1"/>
      <protection locked="0"/>
    </xf>
    <xf numFmtId="43" fontId="67" fillId="0" borderId="1" xfId="1" applyFont="1" applyBorder="1"/>
    <xf numFmtId="43" fontId="67" fillId="0" borderId="1" xfId="1" applyFont="1" applyFill="1" applyBorder="1"/>
    <xf numFmtId="0" fontId="67" fillId="0" borderId="1"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1" xfId="0" applyFont="1" applyBorder="1" applyAlignment="1">
      <alignment horizontal="center" vertical="center"/>
    </xf>
    <xf numFmtId="0" fontId="67" fillId="0" borderId="0" xfId="0" applyFont="1"/>
    <xf numFmtId="0" fontId="67" fillId="0" borderId="0" xfId="0" applyFont="1" applyAlignment="1">
      <alignment wrapText="1"/>
    </xf>
    <xf numFmtId="43" fontId="60" fillId="0" borderId="0" xfId="0" applyNumberFormat="1" applyFont="1"/>
    <xf numFmtId="43" fontId="65" fillId="0" borderId="1" xfId="1" applyFont="1" applyBorder="1"/>
    <xf numFmtId="0" fontId="67" fillId="0" borderId="1" xfId="0" applyFont="1" applyBorder="1" applyAlignment="1">
      <alignment horizontal="left" vertical="center" wrapText="1"/>
    </xf>
    <xf numFmtId="9" fontId="58" fillId="0" borderId="0" xfId="0" applyNumberFormat="1" applyFont="1"/>
    <xf numFmtId="0" fontId="67" fillId="0" borderId="29" xfId="0" applyFont="1" applyBorder="1" applyAlignment="1">
      <alignment horizontal="center" vertical="center" wrapText="1"/>
    </xf>
    <xf numFmtId="0" fontId="58" fillId="0" borderId="0" xfId="0" applyFont="1" applyAlignment="1">
      <alignment vertical="top" wrapText="1"/>
    </xf>
    <xf numFmtId="164" fontId="58" fillId="0" borderId="0" xfId="1" applyNumberFormat="1" applyFont="1"/>
    <xf numFmtId="164" fontId="60" fillId="0" borderId="0" xfId="0" applyNumberFormat="1" applyFont="1"/>
    <xf numFmtId="43" fontId="61" fillId="0" borderId="1" xfId="1" applyFont="1" applyBorder="1"/>
    <xf numFmtId="0" fontId="65" fillId="0" borderId="1" xfId="0" applyFont="1" applyBorder="1" applyAlignment="1">
      <alignment horizontal="left" wrapText="1" indent="1"/>
    </xf>
    <xf numFmtId="0" fontId="65" fillId="0" borderId="1" xfId="0" applyFont="1" applyBorder="1" applyAlignment="1">
      <alignment horizontal="left" vertical="center" indent="1"/>
    </xf>
    <xf numFmtId="0" fontId="67" fillId="0" borderId="1" xfId="0" applyFont="1" applyBorder="1" applyAlignment="1">
      <alignment horizontal="left" wrapText="1" indent="1"/>
    </xf>
    <xf numFmtId="0" fontId="67" fillId="0" borderId="1" xfId="0" applyFont="1" applyBorder="1" applyAlignment="1">
      <alignment horizontal="left" indent="1"/>
    </xf>
    <xf numFmtId="0" fontId="67" fillId="0" borderId="1" xfId="0" applyFont="1" applyBorder="1" applyAlignment="1">
      <alignment horizontal="left" wrapText="1" indent="4"/>
    </xf>
    <xf numFmtId="0" fontId="67" fillId="0" borderId="1" xfId="0" applyFont="1" applyBorder="1" applyAlignment="1">
      <alignment horizontal="left" indent="3"/>
    </xf>
    <xf numFmtId="0" fontId="65" fillId="0" borderId="1" xfId="0" applyFont="1" applyBorder="1" applyAlignment="1">
      <alignment horizontal="left" indent="1"/>
    </xf>
    <xf numFmtId="43" fontId="67" fillId="0" borderId="0" xfId="0" applyNumberFormat="1" applyFont="1"/>
    <xf numFmtId="0" fontId="67" fillId="15" borderId="1" xfId="0" applyFont="1" applyFill="1" applyBorder="1"/>
    <xf numFmtId="0" fontId="65" fillId="0" borderId="25" xfId="0" applyFont="1" applyBorder="1"/>
    <xf numFmtId="0" fontId="67" fillId="0" borderId="1" xfId="0" applyFont="1" applyBorder="1" applyAlignment="1">
      <alignment horizontal="left" wrapText="1" indent="2"/>
    </xf>
    <xf numFmtId="0" fontId="67" fillId="0" borderId="1" xfId="0" applyFont="1" applyBorder="1" applyAlignment="1">
      <alignment horizontal="left" wrapText="1"/>
    </xf>
    <xf numFmtId="0" fontId="65" fillId="0" borderId="1" xfId="0" applyFont="1" applyBorder="1" applyAlignment="1">
      <alignment horizontal="center" vertical="center" wrapText="1"/>
    </xf>
    <xf numFmtId="0" fontId="65" fillId="7" borderId="1" xfId="0" applyFont="1" applyFill="1" applyBorder="1"/>
    <xf numFmtId="0" fontId="65" fillId="0" borderId="1" xfId="0" applyFont="1" applyBorder="1" applyAlignment="1">
      <alignment vertical="top" wrapText="1"/>
    </xf>
    <xf numFmtId="0" fontId="67" fillId="0" borderId="1" xfId="0" applyFont="1" applyBorder="1" applyAlignment="1">
      <alignment horizontal="center"/>
    </xf>
    <xf numFmtId="0" fontId="67" fillId="0" borderId="0" xfId="0" applyFont="1" applyAlignment="1">
      <alignment horizontal="center" vertical="center"/>
    </xf>
    <xf numFmtId="0" fontId="67" fillId="0" borderId="37" xfId="0" applyFont="1" applyBorder="1" applyAlignment="1">
      <alignment horizontal="center" vertical="center" wrapText="1"/>
    </xf>
    <xf numFmtId="0" fontId="67" fillId="0" borderId="19" xfId="0" applyFont="1" applyBorder="1" applyAlignment="1">
      <alignment wrapText="1"/>
    </xf>
    <xf numFmtId="0" fontId="67" fillId="0" borderId="25" xfId="0" applyFont="1" applyBorder="1" applyAlignment="1">
      <alignment wrapText="1"/>
    </xf>
    <xf numFmtId="0" fontId="67" fillId="0" borderId="0" xfId="0" applyFont="1" applyAlignment="1">
      <alignment horizontal="center" vertical="center" wrapText="1"/>
    </xf>
    <xf numFmtId="0" fontId="67" fillId="0" borderId="3"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0" xfId="0" applyFont="1" applyAlignment="1">
      <alignment horizontal="center"/>
    </xf>
    <xf numFmtId="0" fontId="67" fillId="0" borderId="5" xfId="0" applyFont="1" applyBorder="1"/>
    <xf numFmtId="0" fontId="67" fillId="0" borderId="6" xfId="0" applyFont="1" applyBorder="1"/>
    <xf numFmtId="43" fontId="67" fillId="0" borderId="6" xfId="1" applyFont="1" applyBorder="1"/>
    <xf numFmtId="43" fontId="67" fillId="0" borderId="7" xfId="1" applyFont="1" applyBorder="1" applyAlignment="1">
      <alignment horizontal="left" wrapText="1" indent="1"/>
    </xf>
    <xf numFmtId="49" fontId="67" fillId="0" borderId="5" xfId="0" applyNumberFormat="1" applyFont="1" applyBorder="1" applyAlignment="1">
      <alignment vertical="top" wrapText="1"/>
    </xf>
    <xf numFmtId="0" fontId="67" fillId="0" borderId="7" xfId="0" applyFont="1" applyBorder="1" applyAlignment="1">
      <alignment horizontal="left" wrapText="1" indent="1"/>
    </xf>
    <xf numFmtId="0" fontId="67" fillId="0" borderId="14" xfId="0" applyFont="1" applyBorder="1"/>
    <xf numFmtId="43" fontId="67" fillId="0" borderId="15" xfId="1" applyFont="1" applyBorder="1" applyAlignment="1">
      <alignment horizontal="left" wrapText="1" indent="1"/>
    </xf>
    <xf numFmtId="49" fontId="67" fillId="0" borderId="14" xfId="0" applyNumberFormat="1" applyFont="1" applyBorder="1" applyAlignment="1">
      <alignment horizontal="left" wrapText="1" indent="1"/>
    </xf>
    <xf numFmtId="0" fontId="67" fillId="0" borderId="15" xfId="0" applyFont="1" applyBorder="1" applyAlignment="1">
      <alignment horizontal="left" wrapText="1" indent="1"/>
    </xf>
    <xf numFmtId="43" fontId="67" fillId="0" borderId="15" xfId="1" applyFont="1" applyBorder="1" applyAlignment="1">
      <alignment horizontal="left" vertical="center" wrapText="1" indent="2"/>
    </xf>
    <xf numFmtId="49" fontId="67" fillId="0" borderId="14" xfId="0" applyNumberFormat="1" applyFont="1" applyBorder="1" applyAlignment="1">
      <alignment horizontal="left" wrapText="1" indent="3"/>
    </xf>
    <xf numFmtId="49" fontId="67" fillId="0" borderId="15" xfId="0" applyNumberFormat="1" applyFont="1" applyBorder="1" applyAlignment="1">
      <alignment horizontal="left" wrapText="1" indent="3"/>
    </xf>
    <xf numFmtId="49" fontId="67" fillId="0" borderId="14" xfId="0" applyNumberFormat="1" applyFont="1" applyBorder="1" applyAlignment="1">
      <alignment horizontal="left" wrapText="1" indent="2"/>
    </xf>
    <xf numFmtId="49" fontId="67" fillId="0" borderId="15" xfId="0" applyNumberFormat="1" applyFont="1" applyBorder="1" applyAlignment="1">
      <alignment horizontal="left" wrapText="1" indent="2"/>
    </xf>
    <xf numFmtId="0" fontId="67" fillId="16" borderId="14" xfId="0" applyFont="1" applyFill="1" applyBorder="1"/>
    <xf numFmtId="0" fontId="67" fillId="16" borderId="1" xfId="0" applyFont="1" applyFill="1" applyBorder="1"/>
    <xf numFmtId="43" fontId="67" fillId="16" borderId="15" xfId="1" applyFont="1" applyFill="1" applyBorder="1"/>
    <xf numFmtId="49" fontId="67" fillId="0" borderId="14" xfId="0" applyNumberFormat="1" applyFont="1" applyBorder="1" applyAlignment="1">
      <alignment horizontal="left" indent="1"/>
    </xf>
    <xf numFmtId="0" fontId="67" fillId="0" borderId="15" xfId="0" applyFont="1" applyBorder="1" applyAlignment="1">
      <alignment horizontal="left" indent="1"/>
    </xf>
    <xf numFmtId="14" fontId="67" fillId="0" borderId="0" xfId="0" applyNumberFormat="1" applyFont="1"/>
    <xf numFmtId="0" fontId="65" fillId="0" borderId="1" xfId="0" applyFont="1" applyBorder="1" applyAlignment="1">
      <alignment horizontal="left" vertical="center" wrapText="1"/>
    </xf>
    <xf numFmtId="43" fontId="67" fillId="0" borderId="1" xfId="1" applyFont="1" applyBorder="1" applyAlignment="1">
      <alignment horizontal="left" vertical="center" wrapText="1"/>
    </xf>
    <xf numFmtId="0" fontId="65" fillId="0" borderId="38" xfId="0" applyFont="1" applyBorder="1" applyAlignment="1">
      <alignment horizontal="left" vertical="center" wrapText="1"/>
    </xf>
    <xf numFmtId="0" fontId="70" fillId="0" borderId="0" xfId="0" applyFont="1"/>
    <xf numFmtId="0" fontId="71" fillId="0" borderId="0" xfId="0" applyFont="1"/>
    <xf numFmtId="0" fontId="70" fillId="0" borderId="0" xfId="0" applyFont="1" applyAlignment="1">
      <alignment vertical="top" wrapText="1"/>
    </xf>
    <xf numFmtId="43" fontId="70" fillId="0" borderId="0" xfId="0" applyNumberFormat="1" applyFont="1"/>
    <xf numFmtId="164" fontId="71" fillId="0" borderId="0" xfId="1" applyNumberFormat="1" applyFont="1" applyFill="1"/>
    <xf numFmtId="0" fontId="11" fillId="0" borderId="0" xfId="0" applyFont="1" applyAlignment="1">
      <alignment wrapText="1"/>
    </xf>
    <xf numFmtId="43" fontId="63" fillId="0" borderId="1" xfId="1" applyFont="1" applyBorder="1"/>
    <xf numFmtId="43" fontId="71" fillId="0" borderId="0" xfId="0" applyNumberFormat="1" applyFont="1"/>
    <xf numFmtId="43" fontId="71" fillId="0" borderId="0" xfId="1" applyFont="1"/>
    <xf numFmtId="43" fontId="63" fillId="0" borderId="1" xfId="1" applyFont="1" applyFill="1" applyBorder="1"/>
    <xf numFmtId="4" fontId="70" fillId="0" borderId="0" xfId="0" applyNumberFormat="1" applyFont="1"/>
    <xf numFmtId="164" fontId="67" fillId="0" borderId="1" xfId="1" applyNumberFormat="1" applyFont="1" applyBorder="1"/>
    <xf numFmtId="164" fontId="71" fillId="0" borderId="0" xfId="1" applyNumberFormat="1" applyFont="1"/>
    <xf numFmtId="0" fontId="63" fillId="0" borderId="0" xfId="0" applyFont="1" applyAlignment="1">
      <alignment horizontal="center" vertical="center"/>
    </xf>
    <xf numFmtId="0" fontId="63" fillId="0" borderId="0" xfId="0" applyFont="1"/>
    <xf numFmtId="0" fontId="73" fillId="0" borderId="0" xfId="0" applyFont="1"/>
    <xf numFmtId="0" fontId="63" fillId="0" borderId="1" xfId="0" applyFont="1" applyBorder="1"/>
    <xf numFmtId="0" fontId="67" fillId="0" borderId="89" xfId="0" applyFont="1" applyBorder="1" applyAlignment="1">
      <alignment horizontal="left" vertical="center" wrapText="1" indent="1" readingOrder="1"/>
    </xf>
    <xf numFmtId="0" fontId="63" fillId="0" borderId="1" xfId="0" applyFont="1" applyBorder="1" applyAlignment="1">
      <alignment horizontal="left" indent="3"/>
    </xf>
    <xf numFmtId="9" fontId="63" fillId="0" borderId="1" xfId="0" applyNumberFormat="1" applyFont="1" applyBorder="1"/>
    <xf numFmtId="43" fontId="63" fillId="0" borderId="1" xfId="0" applyNumberFormat="1" applyFont="1" applyBorder="1"/>
    <xf numFmtId="0" fontId="65" fillId="0" borderId="1" xfId="0" applyFont="1" applyBorder="1" applyAlignment="1">
      <alignment vertical="center" wrapText="1" readingOrder="1"/>
    </xf>
    <xf numFmtId="0" fontId="63" fillId="0" borderId="1" xfId="0" applyFont="1" applyBorder="1" applyAlignment="1">
      <alignment horizontal="left" indent="2"/>
    </xf>
    <xf numFmtId="43" fontId="63" fillId="0" borderId="4" xfId="1" applyFont="1" applyBorder="1"/>
    <xf numFmtId="0" fontId="67" fillId="0" borderId="90" xfId="0" applyFont="1" applyBorder="1" applyAlignment="1">
      <alignment vertical="center" wrapText="1" readingOrder="1"/>
    </xf>
    <xf numFmtId="0" fontId="63" fillId="0" borderId="4" xfId="0" applyFont="1" applyBorder="1" applyAlignment="1">
      <alignment horizontal="left" indent="2"/>
    </xf>
    <xf numFmtId="0" fontId="67" fillId="0" borderId="89" xfId="0" applyFont="1" applyBorder="1" applyAlignment="1">
      <alignment vertical="center" wrapText="1" readingOrder="1"/>
    </xf>
    <xf numFmtId="0" fontId="73" fillId="7" borderId="0" xfId="0" applyFont="1" applyFill="1"/>
    <xf numFmtId="0" fontId="73" fillId="14" borderId="0" xfId="0" applyFont="1" applyFill="1"/>
    <xf numFmtId="0" fontId="67" fillId="0" borderId="91" xfId="0" applyFont="1" applyBorder="1" applyAlignment="1">
      <alignment vertical="center" wrapText="1" readingOrder="1"/>
    </xf>
    <xf numFmtId="0" fontId="73" fillId="0" borderId="25" xfId="0" applyFont="1" applyBorder="1"/>
    <xf numFmtId="164" fontId="14" fillId="0" borderId="0" xfId="1" applyNumberFormat="1" applyFont="1" applyFill="1"/>
    <xf numFmtId="168" fontId="51" fillId="0" borderId="1" xfId="17" applyNumberFormat="1" applyFont="1" applyFill="1" applyBorder="1" applyAlignment="1" applyProtection="1">
      <alignment horizontal="right" vertical="center"/>
      <protection locked="0"/>
    </xf>
    <xf numFmtId="0" fontId="60" fillId="0" borderId="0" xfId="0" applyFont="1" applyAlignment="1">
      <alignment horizontal="right"/>
    </xf>
    <xf numFmtId="164" fontId="60" fillId="0" borderId="0" xfId="1" applyNumberFormat="1" applyFont="1" applyFill="1"/>
    <xf numFmtId="3" fontId="58" fillId="0" borderId="0" xfId="0" applyNumberFormat="1" applyFont="1"/>
    <xf numFmtId="164" fontId="59" fillId="0" borderId="0" xfId="1" applyNumberFormat="1" applyFont="1" applyFill="1"/>
    <xf numFmtId="2" fontId="58" fillId="0" borderId="0" xfId="0" applyNumberFormat="1" applyFont="1"/>
    <xf numFmtId="164" fontId="67" fillId="0" borderId="1" xfId="1" applyNumberFormat="1" applyFont="1" applyFill="1" applyBorder="1"/>
    <xf numFmtId="43" fontId="61" fillId="0" borderId="0" xfId="1" applyFont="1" applyFill="1"/>
    <xf numFmtId="43" fontId="58" fillId="0" borderId="0" xfId="1" applyFont="1" applyFill="1"/>
    <xf numFmtId="164" fontId="60" fillId="0" borderId="0" xfId="1" applyNumberFormat="1" applyFont="1" applyFill="1" applyBorder="1"/>
    <xf numFmtId="0" fontId="64" fillId="0" borderId="0" xfId="10" applyFont="1" applyAlignment="1" applyProtection="1">
      <alignment horizontal="left" vertical="center" wrapText="1"/>
      <protection locked="0"/>
    </xf>
    <xf numFmtId="43" fontId="61" fillId="0" borderId="0" xfId="1" applyFont="1" applyFill="1" applyBorder="1"/>
    <xf numFmtId="43" fontId="58" fillId="0" borderId="0" xfId="1" applyFont="1" applyFill="1" applyBorder="1"/>
    <xf numFmtId="0" fontId="68" fillId="0" borderId="0" xfId="0" applyFont="1"/>
    <xf numFmtId="0" fontId="58" fillId="0" borderId="0" xfId="0" applyFont="1" applyAlignment="1">
      <alignment horizontal="left"/>
    </xf>
    <xf numFmtId="164" fontId="58" fillId="0" borderId="0" xfId="0" applyNumberFormat="1" applyFont="1"/>
    <xf numFmtId="43" fontId="67" fillId="0" borderId="0" xfId="1" applyFont="1" applyFill="1"/>
    <xf numFmtId="43" fontId="59" fillId="0" borderId="0" xfId="0" applyNumberFormat="1" applyFont="1"/>
    <xf numFmtId="0" fontId="67" fillId="0" borderId="0" xfId="6" applyFont="1" applyAlignment="1">
      <alignment vertical="top" wrapText="1"/>
    </xf>
    <xf numFmtId="43" fontId="65" fillId="0" borderId="1" xfId="1" applyFont="1" applyFill="1" applyBorder="1"/>
    <xf numFmtId="43" fontId="65" fillId="0" borderId="1" xfId="0" applyNumberFormat="1" applyFont="1" applyBorder="1"/>
    <xf numFmtId="43" fontId="65" fillId="0" borderId="1" xfId="1" applyFont="1" applyFill="1" applyBorder="1" applyAlignment="1">
      <alignment horizontal="left" indent="1"/>
    </xf>
    <xf numFmtId="164" fontId="65" fillId="0" borderId="1" xfId="0" applyNumberFormat="1" applyFont="1" applyBorder="1"/>
    <xf numFmtId="164" fontId="67" fillId="0" borderId="1" xfId="1" applyNumberFormat="1" applyFont="1" applyFill="1" applyBorder="1" applyAlignment="1">
      <alignment horizontal="left" indent="1"/>
    </xf>
    <xf numFmtId="0" fontId="67" fillId="0" borderId="40" xfId="0" applyFont="1" applyBorder="1"/>
    <xf numFmtId="0" fontId="65" fillId="0" borderId="24" xfId="0" applyFont="1" applyBorder="1"/>
    <xf numFmtId="43" fontId="65" fillId="0" borderId="40" xfId="0" applyNumberFormat="1" applyFont="1" applyBorder="1"/>
    <xf numFmtId="0" fontId="67" fillId="0" borderId="14" xfId="0" applyFont="1" applyBorder="1" applyAlignment="1">
      <alignment horizontal="left" indent="1"/>
    </xf>
    <xf numFmtId="43" fontId="67" fillId="0" borderId="15" xfId="1" applyFont="1" applyFill="1" applyBorder="1" applyAlignment="1">
      <alignment horizontal="center"/>
    </xf>
    <xf numFmtId="0" fontId="67" fillId="0" borderId="15" xfId="0" applyFont="1" applyBorder="1" applyAlignment="1">
      <alignment horizontal="left" indent="2"/>
    </xf>
    <xf numFmtId="0" fontId="67" fillId="0" borderId="14" xfId="0" applyFont="1" applyBorder="1" applyAlignment="1">
      <alignment horizontal="left" indent="2"/>
    </xf>
    <xf numFmtId="43" fontId="67" fillId="0" borderId="15" xfId="1" applyFont="1" applyFill="1" applyBorder="1" applyAlignment="1">
      <alignment horizontal="right" indent="2"/>
    </xf>
    <xf numFmtId="49" fontId="67" fillId="0" borderId="15" xfId="0" applyNumberFormat="1" applyFont="1" applyBorder="1" applyAlignment="1">
      <alignment horizontal="left" indent="3"/>
    </xf>
    <xf numFmtId="49" fontId="67" fillId="0" borderId="14" xfId="0" applyNumberFormat="1" applyFont="1" applyBorder="1" applyAlignment="1">
      <alignment horizontal="left" indent="3"/>
    </xf>
    <xf numFmtId="43" fontId="67" fillId="0" borderId="15" xfId="1" applyFont="1" applyFill="1" applyBorder="1" applyAlignment="1">
      <alignment horizontal="left" indent="3"/>
    </xf>
    <xf numFmtId="49" fontId="67" fillId="0" borderId="15" xfId="0" applyNumberFormat="1" applyFont="1" applyBorder="1" applyAlignment="1">
      <alignment horizontal="left" indent="1"/>
    </xf>
    <xf numFmtId="43" fontId="67" fillId="0" borderId="15" xfId="1" applyFont="1" applyFill="1" applyBorder="1" applyAlignment="1">
      <alignment horizontal="left" indent="1"/>
    </xf>
    <xf numFmtId="49" fontId="67" fillId="0" borderId="14" xfId="0" applyNumberFormat="1" applyFont="1" applyBorder="1" applyAlignment="1">
      <alignment horizontal="left" vertical="top" wrapText="1" indent="2"/>
    </xf>
    <xf numFmtId="43" fontId="67" fillId="0" borderId="1" xfId="1" applyFont="1" applyFill="1" applyBorder="1" applyAlignment="1">
      <alignment horizontal="left" vertical="center" wrapText="1"/>
    </xf>
    <xf numFmtId="43" fontId="67" fillId="0" borderId="0" xfId="0" applyNumberFormat="1" applyFont="1" applyAlignment="1">
      <alignment horizontal="left"/>
    </xf>
    <xf numFmtId="164" fontId="59" fillId="0" borderId="0" xfId="1" applyNumberFormat="1" applyFont="1" applyFill="1" applyBorder="1"/>
    <xf numFmtId="43" fontId="60" fillId="0" borderId="0" xfId="1" applyFont="1" applyFill="1" applyBorder="1"/>
    <xf numFmtId="0" fontId="67" fillId="0" borderId="0" xfId="0" applyFont="1" applyAlignment="1">
      <alignment horizontal="center" vertical="top" wrapText="1"/>
    </xf>
    <xf numFmtId="0" fontId="73" fillId="0" borderId="0" xfId="0" applyFont="1" applyAlignment="1">
      <alignment vertical="top" wrapText="1"/>
    </xf>
    <xf numFmtId="43" fontId="73" fillId="0" borderId="0" xfId="0" applyNumberFormat="1" applyFont="1"/>
    <xf numFmtId="0" fontId="29" fillId="0" borderId="0" xfId="0" applyFont="1"/>
    <xf numFmtId="43" fontId="29" fillId="0" borderId="0" xfId="0" applyNumberFormat="1" applyFont="1"/>
    <xf numFmtId="9" fontId="29" fillId="0" borderId="0" xfId="2" applyFont="1" applyFill="1"/>
    <xf numFmtId="10" fontId="29" fillId="0" borderId="0" xfId="2" applyNumberFormat="1" applyFont="1" applyFill="1"/>
    <xf numFmtId="43" fontId="29" fillId="0" borderId="0" xfId="1" applyFont="1" applyFill="1"/>
    <xf numFmtId="43" fontId="67" fillId="8" borderId="1" xfId="1" applyFont="1" applyFill="1" applyBorder="1"/>
    <xf numFmtId="43" fontId="65" fillId="0" borderId="1" xfId="1" applyFont="1" applyBorder="1" applyAlignment="1">
      <alignment horizontal="left" vertical="center" wrapText="1"/>
    </xf>
    <xf numFmtId="0" fontId="9" fillId="0" borderId="85" xfId="6" applyFont="1" applyBorder="1" applyAlignment="1">
      <alignment vertical="center"/>
    </xf>
    <xf numFmtId="0" fontId="0" fillId="0" borderId="85" xfId="0" applyBorder="1"/>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20" fillId="0" borderId="13" xfId="0" applyFont="1" applyBorder="1" applyAlignment="1">
      <alignment horizontal="center" vertical="center"/>
    </xf>
    <xf numFmtId="0" fontId="20" fillId="0" borderId="11" xfId="0" applyFont="1" applyBorder="1" applyAlignment="1">
      <alignment horizontal="center" vertical="center"/>
    </xf>
    <xf numFmtId="0" fontId="20" fillId="0" borderId="29" xfId="0" applyFont="1" applyBorder="1" applyAlignment="1">
      <alignment horizontal="center" vertical="center"/>
    </xf>
    <xf numFmtId="167" fontId="16" fillId="5" borderId="12" xfId="5" applyFill="1" applyBorder="1" applyAlignment="1">
      <alignment horizontal="center"/>
    </xf>
    <xf numFmtId="167" fontId="16" fillId="5" borderId="11" xfId="5" applyFill="1" applyBorder="1" applyAlignment="1">
      <alignment horizontal="center"/>
    </xf>
    <xf numFmtId="167" fontId="16" fillId="5" borderId="10" xfId="5" applyFill="1" applyBorder="1" applyAlignment="1">
      <alignment horizontal="center"/>
    </xf>
    <xf numFmtId="0" fontId="19" fillId="6" borderId="28" xfId="0" applyFont="1" applyFill="1" applyBorder="1" applyAlignment="1">
      <alignment horizontal="center" wrapText="1"/>
    </xf>
    <xf numFmtId="0" fontId="19" fillId="6" borderId="27" xfId="0" applyFont="1" applyFill="1" applyBorder="1" applyAlignment="1">
      <alignment horizontal="center" wrapText="1"/>
    </xf>
    <xf numFmtId="0" fontId="19" fillId="6" borderId="26" xfId="0" applyFont="1" applyFill="1" applyBorder="1" applyAlignment="1">
      <alignment horizontal="center" wrapText="1"/>
    </xf>
    <xf numFmtId="167" fontId="16" fillId="5" borderId="21" xfId="5" applyFill="1" applyBorder="1" applyAlignment="1">
      <alignment horizontal="center"/>
    </xf>
    <xf numFmtId="167" fontId="16" fillId="5" borderId="2" xfId="5" applyFill="1" applyBorder="1" applyAlignment="1">
      <alignment horizontal="center"/>
    </xf>
    <xf numFmtId="167" fontId="16" fillId="5" borderId="20" xfId="5" applyFill="1" applyBorder="1" applyAlignment="1">
      <alignment horizontal="center"/>
    </xf>
    <xf numFmtId="167" fontId="16" fillId="5" borderId="18" xfId="5" applyFill="1" applyBorder="1" applyAlignment="1">
      <alignment horizontal="center"/>
    </xf>
    <xf numFmtId="167" fontId="16" fillId="5" borderId="17" xfId="5" applyFill="1" applyBorder="1" applyAlignment="1">
      <alignment horizontal="center"/>
    </xf>
    <xf numFmtId="167" fontId="16" fillId="5" borderId="16" xfId="5" applyFill="1" applyBorder="1" applyAlignment="1">
      <alignment horizontal="center"/>
    </xf>
    <xf numFmtId="0" fontId="0" fillId="0" borderId="1" xfId="0" applyBorder="1" applyAlignment="1">
      <alignment horizontal="center" vertical="center"/>
    </xf>
    <xf numFmtId="0" fontId="28" fillId="0" borderId="4" xfId="0" applyFont="1" applyBorder="1" applyAlignment="1">
      <alignment horizontal="center" vertical="center"/>
    </xf>
    <xf numFmtId="0" fontId="28" fillId="0" borderId="25" xfId="0" applyFont="1" applyBorder="1" applyAlignment="1">
      <alignment horizontal="center" vertical="center"/>
    </xf>
    <xf numFmtId="164" fontId="21" fillId="0" borderId="22" xfId="1" applyNumberFormat="1" applyFont="1" applyBorder="1" applyAlignment="1">
      <alignment horizontal="center" vertical="center"/>
    </xf>
    <xf numFmtId="164" fontId="21" fillId="0" borderId="34" xfId="1" applyNumberFormat="1" applyFont="1" applyBorder="1" applyAlignment="1">
      <alignment horizontal="center" vertical="center"/>
    </xf>
    <xf numFmtId="0" fontId="28" fillId="0" borderId="4" xfId="0" applyFont="1" applyBorder="1" applyAlignment="1">
      <alignment horizontal="center" vertical="center" wrapText="1"/>
    </xf>
    <xf numFmtId="0" fontId="28" fillId="0" borderId="25" xfId="0" applyFont="1" applyBorder="1" applyAlignment="1">
      <alignment horizontal="center" vertical="center" wrapText="1"/>
    </xf>
    <xf numFmtId="0" fontId="21" fillId="0" borderId="22" xfId="0" applyFont="1" applyBorder="1" applyAlignment="1">
      <alignment horizontal="center" vertical="center"/>
    </xf>
    <xf numFmtId="0" fontId="21" fillId="0" borderId="34" xfId="0"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1" xfId="0" applyBorder="1" applyAlignment="1">
      <alignment horizontal="center" vertical="center" wrapText="1"/>
    </xf>
    <xf numFmtId="0" fontId="21" fillId="0" borderId="22" xfId="0" applyFont="1" applyBorder="1" applyAlignment="1">
      <alignment horizontal="center"/>
    </xf>
    <xf numFmtId="0" fontId="21" fillId="0" borderId="34" xfId="0" applyFont="1" applyBorder="1" applyAlignment="1">
      <alignment horizontal="center"/>
    </xf>
    <xf numFmtId="0" fontId="39" fillId="0" borderId="1" xfId="0" applyFont="1" applyBorder="1" applyAlignment="1">
      <alignment wrapText="1"/>
    </xf>
    <xf numFmtId="0" fontId="4" fillId="0" borderId="14" xfId="0" applyFont="1" applyBorder="1"/>
    <xf numFmtId="0" fontId="21" fillId="0" borderId="1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wrapText="1"/>
    </xf>
    <xf numFmtId="0" fontId="4" fillId="0" borderId="1" xfId="0" applyFont="1" applyBorder="1" applyAlignment="1">
      <alignment horizontal="center" vertical="center" wrapText="1"/>
    </xf>
    <xf numFmtId="0" fontId="4" fillId="0" borderId="13" xfId="0" applyFont="1" applyBorder="1" applyAlignment="1">
      <alignment horizontal="center"/>
    </xf>
    <xf numFmtId="0" fontId="4" fillId="0" borderId="29" xfId="0" applyFont="1" applyBorder="1" applyAlignment="1">
      <alignment horizontal="center"/>
    </xf>
    <xf numFmtId="0" fontId="35" fillId="8" borderId="48" xfId="0" applyFont="1" applyFill="1" applyBorder="1" applyAlignment="1">
      <alignment horizontal="center" vertical="center" wrapText="1"/>
    </xf>
    <xf numFmtId="0" fontId="35" fillId="8" borderId="47" xfId="0" applyFont="1" applyFill="1" applyBorder="1" applyAlignment="1">
      <alignment horizontal="center" vertical="center" wrapText="1"/>
    </xf>
    <xf numFmtId="0" fontId="35" fillId="8" borderId="12" xfId="0" applyFont="1" applyFill="1" applyBorder="1" applyAlignment="1">
      <alignment horizontal="center" vertical="center" wrapText="1"/>
    </xf>
    <xf numFmtId="0" fontId="35" fillId="8" borderId="29" xfId="0" applyFont="1" applyFill="1" applyBorder="1" applyAlignment="1">
      <alignment horizontal="center" vertical="center" wrapText="1"/>
    </xf>
    <xf numFmtId="0" fontId="48" fillId="2" borderId="8" xfId="10" applyFont="1" applyFill="1" applyBorder="1" applyAlignment="1" applyProtection="1">
      <alignment horizontal="center" vertical="center" wrapText="1"/>
      <protection locked="0"/>
    </xf>
    <xf numFmtId="0" fontId="48" fillId="2" borderId="24" xfId="10" applyFont="1" applyFill="1" applyBorder="1" applyAlignment="1" applyProtection="1">
      <alignment horizontal="center" vertical="center" wrapText="1"/>
      <protection locked="0"/>
    </xf>
    <xf numFmtId="9" fontId="4" fillId="0" borderId="13" xfId="0" applyNumberFormat="1" applyFont="1" applyBorder="1" applyAlignment="1">
      <alignment horizontal="center" vertical="center"/>
    </xf>
    <xf numFmtId="9" fontId="4" fillId="0" borderId="29"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25" xfId="0" applyFont="1" applyBorder="1" applyAlignment="1">
      <alignment horizontal="center" vertical="center" wrapText="1"/>
    </xf>
    <xf numFmtId="164" fontId="17" fillId="2" borderId="23" xfId="15" applyNumberFormat="1" applyFont="1" applyFill="1" applyBorder="1" applyAlignment="1" applyProtection="1">
      <alignment horizontal="center"/>
      <protection locked="0"/>
    </xf>
    <xf numFmtId="164" fontId="17" fillId="2" borderId="22" xfId="15" applyNumberFormat="1" applyFont="1" applyFill="1" applyBorder="1" applyAlignment="1" applyProtection="1">
      <alignment horizontal="center"/>
      <protection locked="0"/>
    </xf>
    <xf numFmtId="164" fontId="17" fillId="2" borderId="34" xfId="15" applyNumberFormat="1" applyFont="1" applyFill="1" applyBorder="1" applyAlignment="1" applyProtection="1">
      <alignment horizontal="center"/>
      <protection locked="0"/>
    </xf>
    <xf numFmtId="0" fontId="35" fillId="0" borderId="69" xfId="0" applyFont="1" applyBorder="1" applyAlignment="1">
      <alignment horizontal="center" vertical="center" wrapText="1"/>
    </xf>
    <xf numFmtId="0" fontId="35" fillId="0" borderId="67" xfId="0" applyFont="1" applyBorder="1" applyAlignment="1">
      <alignment horizontal="center" vertical="center" wrapText="1"/>
    </xf>
    <xf numFmtId="164" fontId="17" fillId="0" borderId="70" xfId="15" applyNumberFormat="1" applyFont="1" applyFill="1" applyBorder="1" applyAlignment="1" applyProtection="1">
      <alignment horizontal="center" vertical="center" wrapText="1"/>
      <protection locked="0"/>
    </xf>
    <xf numFmtId="164" fontId="17" fillId="0" borderId="68" xfId="15" applyNumberFormat="1" applyFont="1" applyFill="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wrapText="1"/>
    </xf>
    <xf numFmtId="0" fontId="4" fillId="0" borderId="29" xfId="0" applyFont="1" applyBorder="1" applyAlignment="1">
      <alignment horizontal="center" wrapText="1"/>
    </xf>
    <xf numFmtId="0" fontId="4" fillId="0" borderId="61"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75" xfId="0" applyFont="1" applyBorder="1" applyAlignment="1">
      <alignment horizontal="center" vertical="center" wrapText="1"/>
    </xf>
    <xf numFmtId="0" fontId="50" fillId="0" borderId="65" xfId="0" applyFont="1" applyBorder="1" applyAlignment="1">
      <alignment horizontal="left" vertical="center"/>
    </xf>
    <xf numFmtId="0" fontId="50" fillId="0" borderId="64" xfId="0" applyFont="1" applyBorder="1" applyAlignment="1">
      <alignment horizontal="left" vertical="center"/>
    </xf>
    <xf numFmtId="0" fontId="4" fillId="0" borderId="22" xfId="0" applyFont="1" applyBorder="1" applyAlignment="1">
      <alignment horizontal="center"/>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65" fillId="0" borderId="84" xfId="0" applyFont="1" applyBorder="1" applyAlignment="1">
      <alignment horizontal="left" vertical="center" wrapText="1"/>
    </xf>
    <xf numFmtId="0" fontId="65" fillId="0" borderId="83" xfId="0" applyFont="1" applyBorder="1" applyAlignment="1">
      <alignment horizontal="left" vertical="center" wrapText="1"/>
    </xf>
    <xf numFmtId="0" fontId="65" fillId="0" borderId="81" xfId="0" applyFont="1" applyBorder="1" applyAlignment="1">
      <alignment horizontal="left" vertical="center" wrapText="1"/>
    </xf>
    <xf numFmtId="0" fontId="65" fillId="0" borderId="80" xfId="0" applyFont="1" applyBorder="1" applyAlignment="1">
      <alignment horizontal="left" vertical="center" wrapText="1"/>
    </xf>
    <xf numFmtId="0" fontId="65" fillId="0" borderId="79" xfId="0" applyFont="1" applyBorder="1" applyAlignment="1">
      <alignment horizontal="left" vertical="center" wrapText="1"/>
    </xf>
    <xf numFmtId="0" fontId="65" fillId="0" borderId="78" xfId="0" applyFont="1" applyBorder="1" applyAlignment="1">
      <alignment horizontal="left" vertical="center" wrapText="1"/>
    </xf>
    <xf numFmtId="0" fontId="61" fillId="0" borderId="3"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8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37" xfId="0" applyFont="1" applyBorder="1" applyAlignment="1">
      <alignment horizontal="center" vertical="center" wrapText="1"/>
    </xf>
    <xf numFmtId="0" fontId="58" fillId="0" borderId="0" xfId="0" applyFont="1" applyAlignment="1">
      <alignment horizontal="left" wrapText="1"/>
    </xf>
    <xf numFmtId="0" fontId="67" fillId="0" borderId="4"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29" xfId="0" applyFont="1" applyBorder="1" applyAlignment="1">
      <alignment horizontal="center" vertical="center" wrapText="1"/>
    </xf>
    <xf numFmtId="0" fontId="69" fillId="0" borderId="1" xfId="0" applyFont="1" applyBorder="1" applyAlignment="1">
      <alignment horizontal="center" vertical="center"/>
    </xf>
    <xf numFmtId="0" fontId="66" fillId="0" borderId="3" xfId="0" applyFont="1" applyBorder="1" applyAlignment="1">
      <alignment horizontal="center" vertical="center"/>
    </xf>
    <xf numFmtId="0" fontId="66" fillId="0" borderId="82" xfId="0" applyFont="1" applyBorder="1" applyAlignment="1">
      <alignment horizontal="center" vertical="center"/>
    </xf>
    <xf numFmtId="0" fontId="66" fillId="0" borderId="19" xfId="0" applyFont="1" applyBorder="1" applyAlignment="1">
      <alignment horizontal="center" vertical="center"/>
    </xf>
    <xf numFmtId="0" fontId="66" fillId="0" borderId="37" xfId="0" applyFont="1" applyBorder="1" applyAlignment="1">
      <alignment horizontal="center" vertical="center"/>
    </xf>
    <xf numFmtId="0" fontId="65" fillId="0" borderId="1"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82" xfId="0" applyFont="1" applyBorder="1" applyAlignment="1">
      <alignment horizontal="center" vertical="center" wrapText="1"/>
    </xf>
    <xf numFmtId="0" fontId="65" fillId="0" borderId="85" xfId="0" applyFont="1" applyBorder="1" applyAlignment="1">
      <alignment horizontal="center" vertical="center" wrapText="1"/>
    </xf>
    <xf numFmtId="0" fontId="65" fillId="0" borderId="38" xfId="0" applyFont="1" applyBorder="1" applyAlignment="1">
      <alignment horizontal="center" vertical="center" wrapText="1"/>
    </xf>
    <xf numFmtId="0" fontId="65" fillId="0" borderId="19" xfId="0" applyFont="1" applyBorder="1" applyAlignment="1">
      <alignment horizontal="center" vertical="center" wrapText="1"/>
    </xf>
    <xf numFmtId="0" fontId="65" fillId="0" borderId="37" xfId="0" applyFont="1" applyBorder="1" applyAlignment="1">
      <alignment horizontal="center" vertical="center" wrapText="1"/>
    </xf>
    <xf numFmtId="0" fontId="67" fillId="0" borderId="11"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25" xfId="0" applyFont="1" applyBorder="1" applyAlignment="1">
      <alignment horizontal="center" vertical="center" wrapText="1"/>
    </xf>
    <xf numFmtId="0" fontId="67" fillId="0" borderId="35"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82"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4" xfId="0" applyFont="1" applyBorder="1" applyAlignment="1">
      <alignment horizontal="center" vertical="center" wrapText="1"/>
    </xf>
    <xf numFmtId="0" fontId="67" fillId="0" borderId="65"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75" xfId="0" applyFont="1" applyBorder="1" applyAlignment="1">
      <alignment horizontal="center" vertical="center" wrapText="1"/>
    </xf>
    <xf numFmtId="0" fontId="65" fillId="0" borderId="65" xfId="0" applyFont="1" applyBorder="1" applyAlignment="1">
      <alignment horizontal="left" vertical="top" wrapText="1"/>
    </xf>
    <xf numFmtId="0" fontId="65" fillId="0" borderId="75" xfId="0" applyFont="1" applyBorder="1" applyAlignment="1">
      <alignment horizontal="left" vertical="top" wrapText="1"/>
    </xf>
    <xf numFmtId="0" fontId="65" fillId="0" borderId="63" xfId="0" applyFont="1" applyBorder="1" applyAlignment="1">
      <alignment horizontal="left" vertical="top" wrapText="1"/>
    </xf>
    <xf numFmtId="0" fontId="65" fillId="0" borderId="76" xfId="0" applyFont="1" applyBorder="1" applyAlignment="1">
      <alignment horizontal="left" vertical="top" wrapText="1"/>
    </xf>
    <xf numFmtId="0" fontId="65" fillId="0" borderId="18" xfId="0" applyFont="1" applyBorder="1" applyAlignment="1">
      <alignment horizontal="left" vertical="top" wrapText="1"/>
    </xf>
    <xf numFmtId="0" fontId="65" fillId="0" borderId="16" xfId="0" applyFont="1" applyBorder="1" applyAlignment="1">
      <alignment horizontal="left" vertical="top" wrapText="1"/>
    </xf>
    <xf numFmtId="0" fontId="65" fillId="0" borderId="86" xfId="0" applyFont="1" applyBorder="1" applyAlignment="1">
      <alignment horizontal="center" vertical="center" wrapText="1"/>
    </xf>
    <xf numFmtId="0" fontId="65" fillId="0" borderId="40" xfId="0" applyFont="1" applyBorder="1" applyAlignment="1">
      <alignment horizontal="center" vertical="center" wrapText="1"/>
    </xf>
    <xf numFmtId="0" fontId="67" fillId="0" borderId="3" xfId="0" applyFont="1" applyBorder="1" applyAlignment="1">
      <alignment horizontal="center" vertical="top" wrapText="1"/>
    </xf>
    <xf numFmtId="0" fontId="67" fillId="0" borderId="2" xfId="0" applyFont="1" applyBorder="1" applyAlignment="1">
      <alignment horizontal="center" vertical="top" wrapText="1"/>
    </xf>
    <xf numFmtId="0" fontId="67" fillId="0" borderId="11" xfId="0" applyFont="1" applyBorder="1" applyAlignment="1">
      <alignment horizontal="center" vertical="top" wrapText="1"/>
    </xf>
    <xf numFmtId="0" fontId="67" fillId="0" borderId="29" xfId="0" applyFont="1" applyBorder="1" applyAlignment="1">
      <alignment horizontal="center" vertical="top" wrapText="1"/>
    </xf>
    <xf numFmtId="0" fontId="72" fillId="0" borderId="88" xfId="0" applyFont="1" applyBorder="1" applyAlignment="1">
      <alignment horizontal="left" vertical="top" wrapText="1"/>
    </xf>
    <xf numFmtId="0" fontId="72" fillId="0" borderId="87" xfId="0" applyFont="1" applyBorder="1" applyAlignment="1">
      <alignment horizontal="left" vertical="top" wrapText="1"/>
    </xf>
    <xf numFmtId="0" fontId="62" fillId="0" borderId="1" xfId="0" applyFont="1" applyBorder="1" applyAlignment="1">
      <alignment horizontal="center" vertical="center"/>
    </xf>
    <xf numFmtId="0" fontId="63" fillId="0" borderId="1" xfId="0" applyFont="1" applyBorder="1" applyAlignment="1">
      <alignment horizontal="center" vertical="center" wrapText="1"/>
    </xf>
    <xf numFmtId="0" fontId="63" fillId="0" borderId="4" xfId="0" applyFont="1" applyBorder="1" applyAlignment="1">
      <alignment horizontal="center" vertical="center" wrapText="1"/>
    </xf>
  </cellXfs>
  <cellStyles count="22">
    <cellStyle name="=C:\WINNT35\SYSTEM32\COMMAND.COM" xfId="18" xr:uid="{602F7B13-7702-4DFA-A6F2-256F39B64339}"/>
    <cellStyle name="1Normal 2" xfId="5" xr:uid="{A2918574-4776-4A24-A78F-31C1DC8AA480}"/>
    <cellStyle name="Comma" xfId="1" builtinId="3"/>
    <cellStyle name="Comma 10" xfId="17" xr:uid="{2EFAAFEC-F4D1-44A6-B917-EAA442006D8A}"/>
    <cellStyle name="Comma 10 12" xfId="20" xr:uid="{AD2D002C-C461-4676-BFAC-78010146B3C5}"/>
    <cellStyle name="Comma 111" xfId="21" xr:uid="{DCF3C2E8-D817-4646-B464-483A58466037}"/>
    <cellStyle name="Comma 2" xfId="15" xr:uid="{B34CA238-B326-42C5-A69E-FCEA966E85E3}"/>
    <cellStyle name="Comma 3" xfId="9" xr:uid="{6B9561D6-DAA7-4E67-BAD3-FCB64C68A520}"/>
    <cellStyle name="Hyperlink" xfId="3" builtinId="8"/>
    <cellStyle name="Normal" xfId="0" builtinId="0"/>
    <cellStyle name="Normal 10 2" xfId="19" xr:uid="{44B94555-63FA-40AC-954F-548CE6179B5F}"/>
    <cellStyle name="Normal 121 2" xfId="13" xr:uid="{4A1D0A58-CEDB-4DA8-BA0F-A403BC98FD31}"/>
    <cellStyle name="Normal 122" xfId="4" xr:uid="{4E320FE3-BB60-44D2-8ADE-25E473936299}"/>
    <cellStyle name="Normal 123" xfId="7" xr:uid="{56E62F3E-0ED9-47D5-A21A-A19100B6FEBF}"/>
    <cellStyle name="Normal 2" xfId="6" xr:uid="{90130405-7BAC-439E-8DBE-110F2569C989}"/>
    <cellStyle name="Normal 2 2" xfId="12" xr:uid="{7F39AEC1-42BF-4BF1-8253-D81D41B5B474}"/>
    <cellStyle name="Normal 4" xfId="10" xr:uid="{13340801-B090-4F02-ADF4-289134610E93}"/>
    <cellStyle name="Normal_Capital &amp; RWA N" xfId="8" xr:uid="{43DC78CD-0F2B-44D6-AF21-2744AE6415FC}"/>
    <cellStyle name="Normal_Capital &amp; RWA N 2" xfId="14" xr:uid="{E3A8FF99-8EE0-45B6-B25E-10913EB27FA1}"/>
    <cellStyle name="Normal_Casestdy draft" xfId="16" xr:uid="{CFB61AFC-733D-4156-AFFD-1983E908B79F}"/>
    <cellStyle name="Normal_Casestdy draft 2" xfId="11" xr:uid="{7292646D-7C6A-40BA-959D-B3BEC18C6703}"/>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D1B16D59-EE29-41B8-B4FB-F6C306FD12A0}"/>
            </a:ext>
          </a:extLst>
        </xdr:cNvPr>
        <xdr:cNvCxnSpPr/>
      </xdr:nvCxnSpPr>
      <xdr:spPr>
        <a:xfrm>
          <a:off x="624840" y="914400"/>
          <a:ext cx="624840" cy="3638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7" dT="2023-08-01T10:54:20.25" personId="{00000000-0000-0000-0000-000000000000}" id="{BCA6C964-EA2C-4F0F-B082-4ECBF2EE7987}">
    <text>31,03-ის მდგომარეობით 3 სტაიჯის თანხა</text>
  </threadedComment>
  <threadedComment ref="C7" dT="2023-08-01T14:18:41.21" personId="{00000000-0000-0000-0000-000000000000}" id="{2C25B0DF-A4F4-46E6-808E-F77BE95752F7}" parentId="{BCA6C964-EA2C-4F0F-B082-4ECBF2EE7987}">
    <text>იგულისხემბა კვარტლის საწყისი</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FD64-D50E-49A1-AAF0-C65C40446839}">
  <dimension ref="A1:C35"/>
  <sheetViews>
    <sheetView zoomScaleNormal="85" workbookViewId="0">
      <pane xSplit="1" ySplit="7" topLeftCell="B8" activePane="bottomRight" state="frozen"/>
      <selection activeCell="B43" sqref="B43"/>
      <selection pane="topRight" activeCell="B43" sqref="B43"/>
      <selection pane="bottomLeft" activeCell="B43" sqref="B43"/>
      <selection pane="bottomRight" activeCell="B43" sqref="B43"/>
    </sheetView>
  </sheetViews>
  <sheetFormatPr defaultRowHeight="15" x14ac:dyDescent="0.25"/>
  <cols>
    <col min="1" max="1" width="10.28515625" style="1" customWidth="1"/>
    <col min="2" max="2" width="153" bestFit="1" customWidth="1"/>
    <col min="3" max="3" width="39.42578125" customWidth="1"/>
    <col min="7" max="7" width="62.140625" customWidth="1"/>
  </cols>
  <sheetData>
    <row r="1" spans="1:3" ht="15.75" x14ac:dyDescent="0.3">
      <c r="A1" s="3"/>
      <c r="B1" s="9" t="s">
        <v>40</v>
      </c>
      <c r="C1" s="20"/>
    </row>
    <row r="2" spans="1:3" s="12" customFormat="1" ht="15.75" x14ac:dyDescent="0.3">
      <c r="A2" s="18">
        <v>1</v>
      </c>
      <c r="B2" s="19" t="s">
        <v>39</v>
      </c>
      <c r="C2" s="16" t="s">
        <v>38</v>
      </c>
    </row>
    <row r="3" spans="1:3" s="12" customFormat="1" ht="15.75" x14ac:dyDescent="0.3">
      <c r="A3" s="18">
        <v>2</v>
      </c>
      <c r="B3" s="17" t="s">
        <v>37</v>
      </c>
      <c r="C3" s="16" t="s">
        <v>36</v>
      </c>
    </row>
    <row r="4" spans="1:3" s="12" customFormat="1" ht="40.5" customHeight="1" x14ac:dyDescent="0.3">
      <c r="A4" s="18">
        <v>3</v>
      </c>
      <c r="B4" s="17" t="s">
        <v>35</v>
      </c>
      <c r="C4" s="16" t="s">
        <v>34</v>
      </c>
    </row>
    <row r="5" spans="1:3" s="12" customFormat="1" ht="15.75" x14ac:dyDescent="0.3">
      <c r="A5" s="15">
        <v>4</v>
      </c>
      <c r="B5" s="14" t="s">
        <v>33</v>
      </c>
      <c r="C5" s="13" t="s">
        <v>32</v>
      </c>
    </row>
    <row r="6" spans="1:3" s="11" customFormat="1" ht="65.25" customHeight="1" x14ac:dyDescent="0.3">
      <c r="A6" s="767" t="s">
        <v>31</v>
      </c>
      <c r="B6" s="768"/>
      <c r="C6" s="768"/>
    </row>
    <row r="7" spans="1:3" x14ac:dyDescent="0.25">
      <c r="A7" s="10" t="s">
        <v>30</v>
      </c>
      <c r="B7" s="9" t="s">
        <v>29</v>
      </c>
    </row>
    <row r="8" spans="1:3" x14ac:dyDescent="0.25">
      <c r="A8" s="3">
        <v>1</v>
      </c>
      <c r="B8" s="2" t="s">
        <v>28</v>
      </c>
    </row>
    <row r="9" spans="1:3" x14ac:dyDescent="0.25">
      <c r="A9" s="3">
        <v>2</v>
      </c>
      <c r="B9" s="2" t="s">
        <v>27</v>
      </c>
    </row>
    <row r="10" spans="1:3" x14ac:dyDescent="0.25">
      <c r="A10" s="3">
        <v>3</v>
      </c>
      <c r="B10" s="2" t="s">
        <v>26</v>
      </c>
    </row>
    <row r="11" spans="1:3" x14ac:dyDescent="0.25">
      <c r="A11" s="3">
        <v>4</v>
      </c>
      <c r="B11" s="2" t="s">
        <v>25</v>
      </c>
    </row>
    <row r="12" spans="1:3" x14ac:dyDescent="0.25">
      <c r="A12" s="3">
        <v>5</v>
      </c>
      <c r="B12" s="2" t="s">
        <v>24</v>
      </c>
    </row>
    <row r="13" spans="1:3" x14ac:dyDescent="0.25">
      <c r="A13" s="3">
        <v>6</v>
      </c>
      <c r="B13" s="7" t="s">
        <v>23</v>
      </c>
    </row>
    <row r="14" spans="1:3" x14ac:dyDescent="0.25">
      <c r="A14" s="3">
        <v>7</v>
      </c>
      <c r="B14" s="2" t="s">
        <v>22</v>
      </c>
    </row>
    <row r="15" spans="1:3" x14ac:dyDescent="0.25">
      <c r="A15" s="3">
        <v>8</v>
      </c>
      <c r="B15" s="2" t="s">
        <v>21</v>
      </c>
    </row>
    <row r="16" spans="1:3" x14ac:dyDescent="0.25">
      <c r="A16" s="3">
        <v>9</v>
      </c>
      <c r="B16" s="2" t="s">
        <v>20</v>
      </c>
    </row>
    <row r="17" spans="1:2" x14ac:dyDescent="0.25">
      <c r="A17" s="8" t="s">
        <v>19</v>
      </c>
      <c r="B17" s="2" t="s">
        <v>18</v>
      </c>
    </row>
    <row r="18" spans="1:2" x14ac:dyDescent="0.25">
      <c r="A18" s="3">
        <v>10</v>
      </c>
      <c r="B18" s="2" t="s">
        <v>17</v>
      </c>
    </row>
    <row r="19" spans="1:2" x14ac:dyDescent="0.25">
      <c r="A19" s="3">
        <v>11</v>
      </c>
      <c r="B19" s="7" t="s">
        <v>16</v>
      </c>
    </row>
    <row r="20" spans="1:2" x14ac:dyDescent="0.25">
      <c r="A20" s="3">
        <v>12</v>
      </c>
      <c r="B20" s="7" t="s">
        <v>15</v>
      </c>
    </row>
    <row r="21" spans="1:2" x14ac:dyDescent="0.25">
      <c r="A21" s="3">
        <v>13</v>
      </c>
      <c r="B21" s="6" t="s">
        <v>14</v>
      </c>
    </row>
    <row r="22" spans="1:2" x14ac:dyDescent="0.25">
      <c r="A22" s="3">
        <v>14</v>
      </c>
      <c r="B22" s="5" t="s">
        <v>13</v>
      </c>
    </row>
    <row r="23" spans="1:2" x14ac:dyDescent="0.25">
      <c r="A23" s="3">
        <v>15</v>
      </c>
      <c r="B23" s="2" t="s">
        <v>12</v>
      </c>
    </row>
    <row r="24" spans="1:2" x14ac:dyDescent="0.25">
      <c r="A24" s="3">
        <v>15.1</v>
      </c>
      <c r="B24" s="2" t="s">
        <v>11</v>
      </c>
    </row>
    <row r="25" spans="1:2" x14ac:dyDescent="0.25">
      <c r="A25" s="3">
        <v>16</v>
      </c>
      <c r="B25" s="2" t="s">
        <v>10</v>
      </c>
    </row>
    <row r="26" spans="1:2" x14ac:dyDescent="0.25">
      <c r="A26" s="3">
        <v>17</v>
      </c>
      <c r="B26" s="2" t="s">
        <v>9</v>
      </c>
    </row>
    <row r="27" spans="1:2" x14ac:dyDescent="0.25">
      <c r="A27" s="3">
        <v>18</v>
      </c>
      <c r="B27" s="2" t="s">
        <v>8</v>
      </c>
    </row>
    <row r="28" spans="1:2" x14ac:dyDescent="0.25">
      <c r="A28" s="3">
        <v>19</v>
      </c>
      <c r="B28" s="2" t="s">
        <v>7</v>
      </c>
    </row>
    <row r="29" spans="1:2" x14ac:dyDescent="0.25">
      <c r="A29" s="3">
        <v>20</v>
      </c>
      <c r="B29" s="2" t="s">
        <v>6</v>
      </c>
    </row>
    <row r="30" spans="1:2" x14ac:dyDescent="0.25">
      <c r="A30" s="3">
        <v>21</v>
      </c>
      <c r="B30" s="2" t="s">
        <v>5</v>
      </c>
    </row>
    <row r="31" spans="1:2" x14ac:dyDescent="0.25">
      <c r="A31" s="3">
        <v>22</v>
      </c>
      <c r="B31" s="2" t="s">
        <v>4</v>
      </c>
    </row>
    <row r="32" spans="1:2" ht="25.5" x14ac:dyDescent="0.25">
      <c r="A32" s="3">
        <v>23</v>
      </c>
      <c r="B32" s="4" t="s">
        <v>3</v>
      </c>
    </row>
    <row r="33" spans="1:2" x14ac:dyDescent="0.25">
      <c r="A33" s="3">
        <v>24</v>
      </c>
      <c r="B33" s="2" t="s">
        <v>2</v>
      </c>
    </row>
    <row r="34" spans="1:2" x14ac:dyDescent="0.25">
      <c r="A34" s="3">
        <v>25</v>
      </c>
      <c r="B34" s="2" t="s">
        <v>1</v>
      </c>
    </row>
    <row r="35" spans="1:2" x14ac:dyDescent="0.25">
      <c r="A35" s="3">
        <v>26</v>
      </c>
      <c r="B35" s="2" t="s">
        <v>0</v>
      </c>
    </row>
  </sheetData>
  <mergeCells count="1">
    <mergeCell ref="A6:C6"/>
  </mergeCells>
  <hyperlinks>
    <hyperlink ref="B8" location="'1. key ratios'!A1" display="ცხრილი 1: ძირითადი მაჩვენებლები" xr:uid="{D241107D-0079-43EB-937B-807ABA28557B}"/>
    <hyperlink ref="B9" location="'2. SOFP'!A1" display="საბალანსო უწყისი" xr:uid="{5CC07114-96A1-4688-92B7-5CA4CA48C7EF}"/>
    <hyperlink ref="B10" location="'3. SOPL'!A1" display="მოგება-ზარალის ანგარიშგება" xr:uid="{68E0780B-10A5-4911-80B1-A53AB9958AFE}"/>
    <hyperlink ref="B11" location="'4. Off-Balance'!A1" display="ბალანსგარეშე ანგარიშების უწყისი " xr:uid="{1E0D3253-CC7E-46E3-9290-3501391ADEE4}"/>
    <hyperlink ref="B12" location="'5. RWA'!A1" display="ცხრილი 5: რისკის მიხედვით შეწონილი რისკის პოზიციები" xr:uid="{009B5848-BE48-4E2F-BEED-AEEC39D8F3B1}"/>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79EB6FEB-DD97-4325-B799-1286A0CC6FF9}"/>
    <hyperlink ref="B13" location="'6. Administrators-shareholders'!A1" display="ინფორმაცია ბანკის სამეთვალყურეო საბჭოს, დირექტორატის და აქციონერთა შესახებ" xr:uid="{85E95146-4C2B-4689-A335-66E5D09EBD02}"/>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69DFF7BB-49C6-4031-BEFE-ED68CCC41450}"/>
    <hyperlink ref="B16" location="'9. Capital'!A1" display="ცხრილი 9: საზედამხედველო კაპიტალი" xr:uid="{134C6204-25BF-4436-ABD0-9D91768E08F2}"/>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3E1F4FE4-DED2-41E1-A28A-6822154E6EA9}"/>
    <hyperlink ref="B20" location="'12. CRM'!A1" display="საკრედიტო რისკის მიტიგაცია" xr:uid="{8070AF48-BF69-4D4C-9AFA-8C8AD775928C}"/>
    <hyperlink ref="B19" location="'11. CRWA'!A1" display="საკრედიტო რისკის მიხედვით შეწონილი რისკის პოზიციები" xr:uid="{FD71DD81-7CA5-4BE7-B017-3197D7CAEDEE}"/>
    <hyperlink ref="B21" location="'13. CRME'!A1" display="სტანდარტიზებული მიდგომა - საკრედიტო რისკი საკრედიტო რისკის მიტიგაციის ეფექტი" xr:uid="{4480B6CF-E535-424A-BD20-59E1A2F292EA}"/>
    <hyperlink ref="B23" location="'15. CCR'!A1" display="კონტრაგენტთან დაკავშირებული საკრედიტო რისკის მიხედვით შეწონილი რისკის პოზიციები" xr:uid="{6FB2DE3C-31D0-4597-A947-07B6DDE95451}"/>
    <hyperlink ref="B22" location="'14. LCR'!A1" display="ლიკვიდობის გადაფარვის კოეფიციენტი" xr:uid="{1E9FEB6F-7227-49E6-A628-30F28116AE38}"/>
    <hyperlink ref="B17" location="'9.1. Capital Requirements'!A1" display="კაპიტალის ადეკვატურობის მოთხოვნები" xr:uid="{13DABDA5-C8F6-4CEE-83CF-726BD3D224B7}"/>
    <hyperlink ref="B24" location="'15.1. LR'!A1" display="ლევერიჯის კოეფიციენტი" xr:uid="{0E6546E8-E7E7-426E-AC36-981BD22BAB9B}"/>
    <hyperlink ref="B25" location="'16. NSFR'!A1" display="წმინდა სტაბილური დაფინანსების კოეფიციენტი" xr:uid="{C73E2992-7223-4396-809F-1C6E0FDADA88}"/>
    <hyperlink ref="B26" location="' 17. Residual Maturity'!A1" display="რისკის პოზიციის ღირებულება ნარჩენი ვადიანობის  და რისკის კლასების მიხედვით" xr:uid="{C0AFF39C-E502-4300-BF0E-D72FAF011468}"/>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32F9D9DE-7E6A-481B-B306-4627DE47CFD0}"/>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6EF0FC07-9FC2-456C-B403-E18F821B6A2F}"/>
    <hyperlink ref="B30" location="'21. NPL'!A1" display="უმოქმედო სესხების ცვლილება" xr:uid="{033A9F3C-F90C-42ED-9A6E-D63D08FD327A}"/>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EC1475F9-D24A-4C29-BD01-38EFC7E12070}"/>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AB569B0B-CBE9-44AA-BB6D-E403139217EA}"/>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970381C1-7E8D-40C3-8C7B-1923D8CDE5C9}"/>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8F76514D-CA9C-46B2-9A0B-6EBF59BE28EC}"/>
    <hyperlink ref="B29" location="'20. Reserves'!A1" display="რეზერვის ცვლილება სესხებზე და კორპორატიულ სავალო ფასიანი ქაღალდებზე" xr:uid="{BE179B18-A8FB-4833-AB9F-349487B6DF97}"/>
    <hyperlink ref="B35" location="'26. Retail Products'!A1" display="ზოგადი ინფორმაცია საცალო პროდუქტებზე" xr:uid="{28913673-98DC-43FC-99A1-04239E860672}"/>
    <hyperlink ref="C5" r:id="rId1" xr:uid="{632DF51C-4934-49FA-83D3-9A5777481CA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FEE-CA50-478B-A64A-C75224D5AC6E}">
  <dimension ref="A1:C58"/>
  <sheetViews>
    <sheetView zoomScaleNormal="100" workbookViewId="0">
      <pane xSplit="1" ySplit="5" topLeftCell="B6" activePane="bottomRight" state="frozen"/>
      <selection activeCell="D51" sqref="D51"/>
      <selection pane="topRight" activeCell="D51" sqref="D51"/>
      <selection pane="bottomLeft" activeCell="D51" sqref="D51"/>
      <selection pane="bottomRight" activeCell="C60" sqref="C60"/>
    </sheetView>
  </sheetViews>
  <sheetFormatPr defaultRowHeight="15" x14ac:dyDescent="0.25"/>
  <cols>
    <col min="1" max="1" width="9.5703125" style="1" bestFit="1" customWidth="1"/>
    <col min="2" max="2" width="132.42578125" style="1" customWidth="1"/>
    <col min="3" max="3" width="18.42578125" style="1" customWidth="1"/>
    <col min="4" max="4" width="10" customWidth="1"/>
  </cols>
  <sheetData>
    <row r="1" spans="1:3" ht="15.75" x14ac:dyDescent="0.3">
      <c r="A1" s="113" t="s">
        <v>94</v>
      </c>
      <c r="B1" s="21" t="str">
        <f>Info!C2</f>
        <v>სს სილქ ბანკი</v>
      </c>
    </row>
    <row r="2" spans="1:3" s="113" customFormat="1" ht="15.75" customHeight="1" x14ac:dyDescent="0.3">
      <c r="A2" s="113" t="s">
        <v>93</v>
      </c>
      <c r="B2" s="114">
        <f>'1. key ratios'!B2</f>
        <v>45565</v>
      </c>
    </row>
    <row r="3" spans="1:3" s="113" customFormat="1" ht="15.75" customHeight="1" x14ac:dyDescent="0.3"/>
    <row r="4" spans="1:3" ht="40.5" customHeight="1" thickBot="1" x14ac:dyDescent="0.3">
      <c r="A4" s="1" t="s">
        <v>355</v>
      </c>
      <c r="B4" s="312" t="s">
        <v>20</v>
      </c>
    </row>
    <row r="5" spans="1:3" x14ac:dyDescent="0.25">
      <c r="A5" s="311" t="s">
        <v>89</v>
      </c>
      <c r="B5" s="310"/>
      <c r="C5" s="309" t="s">
        <v>159</v>
      </c>
    </row>
    <row r="6" spans="1:3" x14ac:dyDescent="0.25">
      <c r="A6" s="300">
        <v>1</v>
      </c>
      <c r="B6" s="304" t="s">
        <v>354</v>
      </c>
      <c r="C6" s="308">
        <f>SUM(C7:C11)</f>
        <v>56705960.166591041</v>
      </c>
    </row>
    <row r="7" spans="1:3" x14ac:dyDescent="0.25">
      <c r="A7" s="300">
        <v>2</v>
      </c>
      <c r="B7" s="307" t="s">
        <v>353</v>
      </c>
      <c r="C7" s="305">
        <v>78565500</v>
      </c>
    </row>
    <row r="8" spans="1:3" x14ac:dyDescent="0.25">
      <c r="A8" s="300">
        <v>3</v>
      </c>
      <c r="B8" s="294" t="s">
        <v>352</v>
      </c>
      <c r="C8" s="305"/>
    </row>
    <row r="9" spans="1:3" x14ac:dyDescent="0.25">
      <c r="A9" s="300">
        <v>4</v>
      </c>
      <c r="B9" s="294" t="s">
        <v>351</v>
      </c>
      <c r="C9" s="305"/>
    </row>
    <row r="10" spans="1:3" x14ac:dyDescent="0.25">
      <c r="A10" s="300">
        <v>5</v>
      </c>
      <c r="B10" s="294" t="s">
        <v>350</v>
      </c>
      <c r="C10" s="305">
        <v>3615196.900470661</v>
      </c>
    </row>
    <row r="11" spans="1:3" x14ac:dyDescent="0.25">
      <c r="A11" s="300">
        <v>6</v>
      </c>
      <c r="B11" s="306" t="s">
        <v>349</v>
      </c>
      <c r="C11" s="305">
        <v>-25474736.733879618</v>
      </c>
    </row>
    <row r="12" spans="1:3" s="233" customFormat="1" x14ac:dyDescent="0.25">
      <c r="A12" s="300">
        <v>7</v>
      </c>
      <c r="B12" s="304" t="s">
        <v>348</v>
      </c>
      <c r="C12" s="291">
        <f>SUM(C13:C28)</f>
        <v>5086635.5304706609</v>
      </c>
    </row>
    <row r="13" spans="1:3" s="233" customFormat="1" x14ac:dyDescent="0.25">
      <c r="A13" s="300">
        <v>8</v>
      </c>
      <c r="B13" s="303" t="s">
        <v>347</v>
      </c>
      <c r="C13" s="288">
        <f>C10</f>
        <v>3615196.900470661</v>
      </c>
    </row>
    <row r="14" spans="1:3" s="233" customFormat="1" ht="27" x14ac:dyDescent="0.25">
      <c r="A14" s="300">
        <v>9</v>
      </c>
      <c r="B14" s="289" t="s">
        <v>346</v>
      </c>
      <c r="C14" s="288"/>
    </row>
    <row r="15" spans="1:3" s="233" customFormat="1" x14ac:dyDescent="0.25">
      <c r="A15" s="300">
        <v>10</v>
      </c>
      <c r="B15" s="290" t="s">
        <v>138</v>
      </c>
      <c r="C15" s="288">
        <f>'7. LI1'!C28</f>
        <v>1471438.6299999997</v>
      </c>
    </row>
    <row r="16" spans="1:3" s="233" customFormat="1" x14ac:dyDescent="0.25">
      <c r="A16" s="300">
        <v>11</v>
      </c>
      <c r="B16" s="297" t="s">
        <v>345</v>
      </c>
      <c r="C16" s="288"/>
    </row>
    <row r="17" spans="1:3" s="233" customFormat="1" x14ac:dyDescent="0.25">
      <c r="A17" s="300">
        <v>12</v>
      </c>
      <c r="B17" s="290" t="s">
        <v>344</v>
      </c>
      <c r="C17" s="288"/>
    </row>
    <row r="18" spans="1:3" s="233" customFormat="1" x14ac:dyDescent="0.25">
      <c r="A18" s="300">
        <v>13</v>
      </c>
      <c r="B18" s="290" t="s">
        <v>343</v>
      </c>
      <c r="C18" s="288"/>
    </row>
    <row r="19" spans="1:3" s="233" customFormat="1" x14ac:dyDescent="0.25">
      <c r="A19" s="300">
        <v>14</v>
      </c>
      <c r="B19" s="290" t="s">
        <v>342</v>
      </c>
      <c r="C19" s="288"/>
    </row>
    <row r="20" spans="1:3" s="233" customFormat="1" ht="27" x14ac:dyDescent="0.25">
      <c r="A20" s="300">
        <v>15</v>
      </c>
      <c r="B20" s="290" t="s">
        <v>341</v>
      </c>
      <c r="C20" s="288"/>
    </row>
    <row r="21" spans="1:3" s="233" customFormat="1" ht="27" x14ac:dyDescent="0.25">
      <c r="A21" s="300">
        <v>16</v>
      </c>
      <c r="B21" s="289" t="s">
        <v>340</v>
      </c>
      <c r="C21" s="288"/>
    </row>
    <row r="22" spans="1:3" s="233" customFormat="1" x14ac:dyDescent="0.25">
      <c r="A22" s="300">
        <v>17</v>
      </c>
      <c r="B22" s="302" t="s">
        <v>339</v>
      </c>
      <c r="C22" s="288"/>
    </row>
    <row r="23" spans="1:3" s="233" customFormat="1" x14ac:dyDescent="0.25">
      <c r="A23" s="300">
        <v>18</v>
      </c>
      <c r="B23" s="301" t="s">
        <v>338</v>
      </c>
      <c r="C23" s="288"/>
    </row>
    <row r="24" spans="1:3" s="233" customFormat="1" ht="27" x14ac:dyDescent="0.25">
      <c r="A24" s="300">
        <v>19</v>
      </c>
      <c r="B24" s="289" t="s">
        <v>337</v>
      </c>
      <c r="C24" s="288"/>
    </row>
    <row r="25" spans="1:3" s="233" customFormat="1" ht="27" x14ac:dyDescent="0.25">
      <c r="A25" s="300">
        <v>20</v>
      </c>
      <c r="B25" s="289" t="s">
        <v>314</v>
      </c>
      <c r="C25" s="288"/>
    </row>
    <row r="26" spans="1:3" s="233" customFormat="1" ht="27" x14ac:dyDescent="0.25">
      <c r="A26" s="300">
        <v>21</v>
      </c>
      <c r="B26" s="297" t="s">
        <v>336</v>
      </c>
      <c r="C26" s="288"/>
    </row>
    <row r="27" spans="1:3" s="233" customFormat="1" x14ac:dyDescent="0.25">
      <c r="A27" s="300">
        <v>22</v>
      </c>
      <c r="B27" s="297" t="s">
        <v>335</v>
      </c>
      <c r="C27" s="288"/>
    </row>
    <row r="28" spans="1:3" s="233" customFormat="1" ht="27" x14ac:dyDescent="0.25">
      <c r="A28" s="300">
        <v>23</v>
      </c>
      <c r="B28" s="297" t="s">
        <v>334</v>
      </c>
      <c r="C28" s="288"/>
    </row>
    <row r="29" spans="1:3" s="233" customFormat="1" x14ac:dyDescent="0.25">
      <c r="A29" s="300">
        <v>24</v>
      </c>
      <c r="B29" s="296" t="s">
        <v>78</v>
      </c>
      <c r="C29" s="291">
        <f>C6-C12</f>
        <v>51619324.636120379</v>
      </c>
    </row>
    <row r="30" spans="1:3" s="233" customFormat="1" x14ac:dyDescent="0.25">
      <c r="A30" s="287"/>
      <c r="B30" s="295"/>
      <c r="C30" s="288"/>
    </row>
    <row r="31" spans="1:3" s="233" customFormat="1" x14ac:dyDescent="0.25">
      <c r="A31" s="287">
        <v>25</v>
      </c>
      <c r="B31" s="296" t="s">
        <v>333</v>
      </c>
      <c r="C31" s="291">
        <f>C32+C35</f>
        <v>0</v>
      </c>
    </row>
    <row r="32" spans="1:3" s="233" customFormat="1" x14ac:dyDescent="0.25">
      <c r="A32" s="287">
        <v>26</v>
      </c>
      <c r="B32" s="294" t="s">
        <v>332</v>
      </c>
      <c r="C32" s="299">
        <f>C33+C34</f>
        <v>0</v>
      </c>
    </row>
    <row r="33" spans="1:3" s="233" customFormat="1" x14ac:dyDescent="0.25">
      <c r="A33" s="287">
        <v>27</v>
      </c>
      <c r="B33" s="298" t="s">
        <v>331</v>
      </c>
      <c r="C33" s="288"/>
    </row>
    <row r="34" spans="1:3" s="233" customFormat="1" x14ac:dyDescent="0.25">
      <c r="A34" s="287">
        <v>28</v>
      </c>
      <c r="B34" s="298" t="s">
        <v>330</v>
      </c>
      <c r="C34" s="288"/>
    </row>
    <row r="35" spans="1:3" s="233" customFormat="1" x14ac:dyDescent="0.25">
      <c r="A35" s="287">
        <v>29</v>
      </c>
      <c r="B35" s="294" t="s">
        <v>329</v>
      </c>
      <c r="C35" s="288"/>
    </row>
    <row r="36" spans="1:3" s="233" customFormat="1" x14ac:dyDescent="0.25">
      <c r="A36" s="287">
        <v>30</v>
      </c>
      <c r="B36" s="296" t="s">
        <v>328</v>
      </c>
      <c r="C36" s="291">
        <f>SUM(C37:C41)</f>
        <v>0</v>
      </c>
    </row>
    <row r="37" spans="1:3" s="233" customFormat="1" x14ac:dyDescent="0.25">
      <c r="A37" s="287">
        <v>31</v>
      </c>
      <c r="B37" s="289" t="s">
        <v>327</v>
      </c>
      <c r="C37" s="288"/>
    </row>
    <row r="38" spans="1:3" s="233" customFormat="1" x14ac:dyDescent="0.25">
      <c r="A38" s="287">
        <v>32</v>
      </c>
      <c r="B38" s="290" t="s">
        <v>326</v>
      </c>
      <c r="C38" s="288"/>
    </row>
    <row r="39" spans="1:3" s="233" customFormat="1" ht="27" x14ac:dyDescent="0.25">
      <c r="A39" s="287">
        <v>33</v>
      </c>
      <c r="B39" s="289" t="s">
        <v>325</v>
      </c>
      <c r="C39" s="288"/>
    </row>
    <row r="40" spans="1:3" s="233" customFormat="1" ht="27" x14ac:dyDescent="0.25">
      <c r="A40" s="287">
        <v>34</v>
      </c>
      <c r="B40" s="289" t="s">
        <v>314</v>
      </c>
      <c r="C40" s="288"/>
    </row>
    <row r="41" spans="1:3" s="233" customFormat="1" ht="27" x14ac:dyDescent="0.25">
      <c r="A41" s="287">
        <v>35</v>
      </c>
      <c r="B41" s="297" t="s">
        <v>324</v>
      </c>
      <c r="C41" s="288"/>
    </row>
    <row r="42" spans="1:3" s="233" customFormat="1" x14ac:dyDescent="0.25">
      <c r="A42" s="287">
        <v>36</v>
      </c>
      <c r="B42" s="296" t="s">
        <v>323</v>
      </c>
      <c r="C42" s="291">
        <f>C31-C36</f>
        <v>0</v>
      </c>
    </row>
    <row r="43" spans="1:3" s="233" customFormat="1" x14ac:dyDescent="0.25">
      <c r="A43" s="287"/>
      <c r="B43" s="295"/>
      <c r="C43" s="288"/>
    </row>
    <row r="44" spans="1:3" s="233" customFormat="1" x14ac:dyDescent="0.25">
      <c r="A44" s="287">
        <v>37</v>
      </c>
      <c r="B44" s="292" t="s">
        <v>322</v>
      </c>
      <c r="C44" s="291">
        <f>SUM(C45:C47)</f>
        <v>0</v>
      </c>
    </row>
    <row r="45" spans="1:3" s="233" customFormat="1" x14ac:dyDescent="0.25">
      <c r="A45" s="287">
        <v>38</v>
      </c>
      <c r="B45" s="294" t="s">
        <v>321</v>
      </c>
      <c r="C45" s="288">
        <v>0</v>
      </c>
    </row>
    <row r="46" spans="1:3" s="233" customFormat="1" x14ac:dyDescent="0.25">
      <c r="A46" s="287">
        <v>39</v>
      </c>
      <c r="B46" s="294" t="s">
        <v>320</v>
      </c>
      <c r="C46" s="288"/>
    </row>
    <row r="47" spans="1:3" s="233" customFormat="1" x14ac:dyDescent="0.25">
      <c r="A47" s="287">
        <v>40</v>
      </c>
      <c r="B47" s="293" t="s">
        <v>319</v>
      </c>
      <c r="C47" s="288"/>
    </row>
    <row r="48" spans="1:3" s="233" customFormat="1" x14ac:dyDescent="0.25">
      <c r="A48" s="287">
        <v>41</v>
      </c>
      <c r="B48" s="292" t="s">
        <v>318</v>
      </c>
      <c r="C48" s="291">
        <f>SUM(C49:C52)</f>
        <v>0</v>
      </c>
    </row>
    <row r="49" spans="1:3" s="233" customFormat="1" x14ac:dyDescent="0.25">
      <c r="A49" s="287">
        <v>42</v>
      </c>
      <c r="B49" s="289" t="s">
        <v>317</v>
      </c>
      <c r="C49" s="288"/>
    </row>
    <row r="50" spans="1:3" s="233" customFormat="1" x14ac:dyDescent="0.25">
      <c r="A50" s="287">
        <v>43</v>
      </c>
      <c r="B50" s="290" t="s">
        <v>316</v>
      </c>
      <c r="C50" s="288"/>
    </row>
    <row r="51" spans="1:3" s="233" customFormat="1" ht="27" x14ac:dyDescent="0.25">
      <c r="A51" s="287">
        <v>44</v>
      </c>
      <c r="B51" s="289" t="s">
        <v>315</v>
      </c>
      <c r="C51" s="288"/>
    </row>
    <row r="52" spans="1:3" s="233" customFormat="1" ht="27" x14ac:dyDescent="0.25">
      <c r="A52" s="287">
        <v>45</v>
      </c>
      <c r="B52" s="289" t="s">
        <v>314</v>
      </c>
      <c r="C52" s="288"/>
    </row>
    <row r="53" spans="1:3" s="233" customFormat="1" ht="15.75" thickBot="1" x14ac:dyDescent="0.3">
      <c r="A53" s="287">
        <v>46</v>
      </c>
      <c r="B53" s="286" t="s">
        <v>313</v>
      </c>
      <c r="C53" s="285">
        <f>C44-C48</f>
        <v>0</v>
      </c>
    </row>
    <row r="55" spans="1:3" x14ac:dyDescent="0.25">
      <c r="C55" s="284"/>
    </row>
    <row r="56" spans="1:3" x14ac:dyDescent="0.25">
      <c r="B56" s="1" t="s">
        <v>312</v>
      </c>
      <c r="C56" s="283"/>
    </row>
    <row r="57" spans="1:3" x14ac:dyDescent="0.25">
      <c r="C57" s="283"/>
    </row>
    <row r="58" spans="1:3" x14ac:dyDescent="0.25">
      <c r="C58" s="282"/>
    </row>
  </sheetData>
  <autoFilter ref="A5:C53" xr:uid="{00000000-0001-0000-0900-000000000000}"/>
  <dataValidations count="1">
    <dataValidation operator="lessThanOrEqual" allowBlank="1" showInputMessage="1" showErrorMessage="1" errorTitle="Should be negative number" error="Should be whole negative number or 0" sqref="C13:C53" xr:uid="{00000000-0002-0000-0900-000000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6573-A50F-4872-B1FF-D667B282820E}">
  <dimension ref="A1:D23"/>
  <sheetViews>
    <sheetView topLeftCell="B7" zoomScale="145" zoomScaleNormal="145" workbookViewId="0">
      <selection activeCell="E13" sqref="E13"/>
    </sheetView>
  </sheetViews>
  <sheetFormatPr defaultColWidth="9.140625" defaultRowHeight="13.5" x14ac:dyDescent="0.25"/>
  <cols>
    <col min="1" max="1" width="10.85546875" style="1" bestFit="1" customWidth="1"/>
    <col min="2" max="2" width="59" style="1" customWidth="1"/>
    <col min="3" max="3" width="16.7109375" style="1" bestFit="1" customWidth="1"/>
    <col min="4" max="4" width="22.140625" style="1" customWidth="1"/>
    <col min="5" max="16384" width="9.140625" style="1"/>
  </cols>
  <sheetData>
    <row r="1" spans="1:4" ht="15" x14ac:dyDescent="0.3">
      <c r="A1" s="113" t="s">
        <v>94</v>
      </c>
      <c r="B1" s="21" t="str">
        <f>Info!C2</f>
        <v>სს სილქ ბანკი</v>
      </c>
    </row>
    <row r="2" spans="1:4" s="113" customFormat="1" ht="15.75" customHeight="1" x14ac:dyDescent="0.3">
      <c r="A2" s="113" t="s">
        <v>93</v>
      </c>
      <c r="B2" s="114">
        <f>'1. key ratios'!B2</f>
        <v>45565</v>
      </c>
    </row>
    <row r="3" spans="1:4" s="113" customFormat="1" ht="15.75" customHeight="1" x14ac:dyDescent="0.3"/>
    <row r="4" spans="1:4" ht="40.5" customHeight="1" thickBot="1" x14ac:dyDescent="0.3">
      <c r="A4" s="1" t="s">
        <v>385</v>
      </c>
      <c r="B4" s="339" t="s">
        <v>18</v>
      </c>
    </row>
    <row r="5" spans="1:4" s="263" customFormat="1" x14ac:dyDescent="0.25">
      <c r="A5" s="806" t="s">
        <v>384</v>
      </c>
      <c r="B5" s="807"/>
      <c r="C5" s="338" t="s">
        <v>359</v>
      </c>
      <c r="D5" s="337" t="s">
        <v>358</v>
      </c>
    </row>
    <row r="6" spans="1:4" s="313" customFormat="1" x14ac:dyDescent="0.25">
      <c r="A6" s="329">
        <v>1</v>
      </c>
      <c r="B6" s="328" t="s">
        <v>383</v>
      </c>
      <c r="C6" s="328"/>
      <c r="D6" s="336"/>
    </row>
    <row r="7" spans="1:4" s="313" customFormat="1" x14ac:dyDescent="0.25">
      <c r="A7" s="335" t="s">
        <v>382</v>
      </c>
      <c r="B7" s="334" t="s">
        <v>381</v>
      </c>
      <c r="C7" s="333">
        <v>4.4999999999999998E-2</v>
      </c>
      <c r="D7" s="318">
        <f>C7*'5. RWA'!$C$13</f>
        <v>7612236.114847743</v>
      </c>
    </row>
    <row r="8" spans="1:4" s="313" customFormat="1" x14ac:dyDescent="0.25">
      <c r="A8" s="335" t="s">
        <v>380</v>
      </c>
      <c r="B8" s="334" t="s">
        <v>379</v>
      </c>
      <c r="C8" s="333">
        <v>0.06</v>
      </c>
      <c r="D8" s="318">
        <f>C8*'5. RWA'!$C$13</f>
        <v>10149648.153130323</v>
      </c>
    </row>
    <row r="9" spans="1:4" s="313" customFormat="1" x14ac:dyDescent="0.25">
      <c r="A9" s="335" t="s">
        <v>378</v>
      </c>
      <c r="B9" s="334" t="s">
        <v>377</v>
      </c>
      <c r="C9" s="333">
        <v>0.08</v>
      </c>
      <c r="D9" s="318">
        <f>C9*'5. RWA'!$C$13</f>
        <v>13532864.204173766</v>
      </c>
    </row>
    <row r="10" spans="1:4" s="313" customFormat="1" x14ac:dyDescent="0.25">
      <c r="A10" s="329" t="s">
        <v>376</v>
      </c>
      <c r="B10" s="328" t="s">
        <v>375</v>
      </c>
      <c r="C10" s="332">
        <f>C11+C12+C13</f>
        <v>2.75E-2</v>
      </c>
      <c r="D10" s="326">
        <f>D11+D12+D13</f>
        <v>4651922.0701847319</v>
      </c>
    </row>
    <row r="11" spans="1:4" s="330" customFormat="1" x14ac:dyDescent="0.25">
      <c r="A11" s="331" t="s">
        <v>374</v>
      </c>
      <c r="B11" s="320" t="s">
        <v>373</v>
      </c>
      <c r="C11" s="319">
        <v>2.5000000000000001E-2</v>
      </c>
      <c r="D11" s="324">
        <f>C11*'5. RWA'!$C$13</f>
        <v>4229020.0638043014</v>
      </c>
    </row>
    <row r="12" spans="1:4" s="330" customFormat="1" x14ac:dyDescent="0.25">
      <c r="A12" s="331" t="s">
        <v>372</v>
      </c>
      <c r="B12" s="320" t="s">
        <v>371</v>
      </c>
      <c r="C12" s="319">
        <v>2.5000000000000001E-3</v>
      </c>
      <c r="D12" s="324">
        <f>C12*'5. RWA'!$C$13</f>
        <v>422902.00638043019</v>
      </c>
    </row>
    <row r="13" spans="1:4" s="330" customFormat="1" x14ac:dyDescent="0.25">
      <c r="A13" s="331" t="s">
        <v>370</v>
      </c>
      <c r="B13" s="320" t="s">
        <v>369</v>
      </c>
      <c r="C13" s="319">
        <v>0</v>
      </c>
      <c r="D13" s="324">
        <f>C13*'5. RWA'!$C$13</f>
        <v>0</v>
      </c>
    </row>
    <row r="14" spans="1:4" s="313" customFormat="1" x14ac:dyDescent="0.25">
      <c r="A14" s="329" t="s">
        <v>368</v>
      </c>
      <c r="B14" s="328" t="s">
        <v>367</v>
      </c>
      <c r="C14" s="327"/>
      <c r="D14" s="326"/>
    </row>
    <row r="15" spans="1:4" s="313" customFormat="1" x14ac:dyDescent="0.25">
      <c r="A15" s="325" t="s">
        <v>366</v>
      </c>
      <c r="B15" s="320" t="s">
        <v>365</v>
      </c>
      <c r="C15" s="319">
        <v>9.3436421992148813E-2</v>
      </c>
      <c r="D15" s="324">
        <f>C15*'5. RWA'!$C$13</f>
        <v>15805780.131795313</v>
      </c>
    </row>
    <row r="16" spans="1:4" s="313" customFormat="1" x14ac:dyDescent="0.25">
      <c r="A16" s="325" t="s">
        <v>364</v>
      </c>
      <c r="B16" s="320" t="s">
        <v>363</v>
      </c>
      <c r="C16" s="319">
        <v>0.11704546497227394</v>
      </c>
      <c r="D16" s="324">
        <f>C16*'5. RWA'!$C$13</f>
        <v>19799504.789802004</v>
      </c>
    </row>
    <row r="17" spans="1:4" s="313" customFormat="1" x14ac:dyDescent="0.25">
      <c r="A17" s="325" t="s">
        <v>362</v>
      </c>
      <c r="B17" s="320" t="s">
        <v>361</v>
      </c>
      <c r="C17" s="319">
        <v>0.1481099952092807</v>
      </c>
      <c r="D17" s="324">
        <f>C17*'5. RWA'!$C$13</f>
        <v>25054405.655600283</v>
      </c>
    </row>
    <row r="18" spans="1:4" s="263" customFormat="1" x14ac:dyDescent="0.25">
      <c r="A18" s="808" t="s">
        <v>360</v>
      </c>
      <c r="B18" s="809"/>
      <c r="C18" s="323" t="s">
        <v>359</v>
      </c>
      <c r="D18" s="322" t="s">
        <v>358</v>
      </c>
    </row>
    <row r="19" spans="1:4" s="313" customFormat="1" x14ac:dyDescent="0.25">
      <c r="A19" s="321">
        <v>4</v>
      </c>
      <c r="B19" s="320" t="s">
        <v>78</v>
      </c>
      <c r="C19" s="319">
        <f>C7+C11+C12+C13+C15</f>
        <v>0.16593642199214881</v>
      </c>
      <c r="D19" s="318">
        <f>C19*'5. RWA'!$C$13</f>
        <v>28069938.316827785</v>
      </c>
    </row>
    <row r="20" spans="1:4" s="313" customFormat="1" x14ac:dyDescent="0.25">
      <c r="A20" s="321">
        <v>5</v>
      </c>
      <c r="B20" s="320" t="s">
        <v>77</v>
      </c>
      <c r="C20" s="319">
        <f>C8+C11+C12+C13+C16</f>
        <v>0.20454546497227394</v>
      </c>
      <c r="D20" s="318">
        <f>C20*'5. RWA'!$C$13</f>
        <v>34601075.01311706</v>
      </c>
    </row>
    <row r="21" spans="1:4" s="313" customFormat="1" ht="14.25" thickBot="1" x14ac:dyDescent="0.3">
      <c r="A21" s="317" t="s">
        <v>357</v>
      </c>
      <c r="B21" s="316" t="s">
        <v>20</v>
      </c>
      <c r="C21" s="315">
        <f>C9+C11+C12+C13+C17</f>
        <v>0.25560999520928074</v>
      </c>
      <c r="D21" s="314">
        <f>C21*'5. RWA'!$C$13</f>
        <v>43239191.929958783</v>
      </c>
    </row>
    <row r="22" spans="1:4" x14ac:dyDescent="0.25">
      <c r="B22" s="196"/>
    </row>
    <row r="23" spans="1:4" ht="67.5" x14ac:dyDescent="0.25">
      <c r="B23" s="24" t="s">
        <v>356</v>
      </c>
    </row>
  </sheetData>
  <mergeCells count="2">
    <mergeCell ref="A5:B5"/>
    <mergeCell ref="A18:B18"/>
  </mergeCells>
  <conditionalFormatting sqref="C21">
    <cfRule type="cellIs" dxfId="23"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D02A-3AB9-4A5D-850C-F7E21D245D39}">
  <dimension ref="A1:E72"/>
  <sheetViews>
    <sheetView zoomScale="85" zoomScaleNormal="85" workbookViewId="0">
      <pane xSplit="1" ySplit="5" topLeftCell="B6" activePane="bottomRight" state="frozen"/>
      <selection activeCell="D51" sqref="D51"/>
      <selection pane="topRight" activeCell="D51" sqref="D51"/>
      <selection pane="bottomLeft" activeCell="D51" sqref="D51"/>
      <selection pane="bottomRight" activeCell="D72" sqref="D72"/>
    </sheetView>
  </sheetViews>
  <sheetFormatPr defaultRowHeight="15.75" x14ac:dyDescent="0.3"/>
  <cols>
    <col min="1" max="1" width="10.7109375" style="340" customWidth="1"/>
    <col min="2" max="2" width="87.140625" style="340" customWidth="1"/>
    <col min="3" max="3" width="47.42578125" style="340" customWidth="1"/>
    <col min="4" max="4" width="32.28515625" style="340" customWidth="1"/>
    <col min="5" max="5" width="9.42578125" customWidth="1"/>
  </cols>
  <sheetData>
    <row r="1" spans="1:5" x14ac:dyDescent="0.3">
      <c r="A1" s="113" t="s">
        <v>94</v>
      </c>
      <c r="B1" s="22" t="str">
        <f>Info!C2</f>
        <v>სს სილქ ბანკი</v>
      </c>
      <c r="E1" s="1"/>
    </row>
    <row r="2" spans="1:5" s="113" customFormat="1" ht="15.75" customHeight="1" x14ac:dyDescent="0.3">
      <c r="A2" s="113" t="s">
        <v>93</v>
      </c>
      <c r="B2" s="114">
        <f>'1. key ratios'!B2</f>
        <v>45565</v>
      </c>
    </row>
    <row r="3" spans="1:5" s="113" customFormat="1" ht="15.75" customHeight="1" x14ac:dyDescent="0.3">
      <c r="A3" s="383"/>
    </row>
    <row r="4" spans="1:5" s="113" customFormat="1" ht="40.5" customHeight="1" thickBot="1" x14ac:dyDescent="0.35">
      <c r="A4" s="113" t="s">
        <v>392</v>
      </c>
      <c r="B4" s="382" t="s">
        <v>17</v>
      </c>
      <c r="D4" s="381" t="s">
        <v>251</v>
      </c>
    </row>
    <row r="5" spans="1:5" ht="40.5" x14ac:dyDescent="0.25">
      <c r="A5" s="380" t="s">
        <v>89</v>
      </c>
      <c r="B5" s="379" t="s">
        <v>296</v>
      </c>
      <c r="C5" s="378" t="s">
        <v>391</v>
      </c>
      <c r="D5" s="377" t="s">
        <v>390</v>
      </c>
    </row>
    <row r="6" spans="1:5" x14ac:dyDescent="0.3">
      <c r="A6" s="121">
        <v>1</v>
      </c>
      <c r="B6" s="150" t="s">
        <v>155</v>
      </c>
      <c r="C6" s="376">
        <f>SUM(C7:C9)</f>
        <v>48942391.851024881</v>
      </c>
      <c r="D6" s="375"/>
      <c r="E6" s="356"/>
    </row>
    <row r="7" spans="1:5" x14ac:dyDescent="0.3">
      <c r="A7" s="121">
        <v>1.1000000000000001</v>
      </c>
      <c r="B7" s="136" t="s">
        <v>154</v>
      </c>
      <c r="C7" s="355">
        <f>'7. LI1'!E9</f>
        <v>4864761.790000001</v>
      </c>
      <c r="D7" s="360"/>
      <c r="E7" s="356"/>
    </row>
    <row r="8" spans="1:5" x14ac:dyDescent="0.3">
      <c r="A8" s="121">
        <v>1.2</v>
      </c>
      <c r="B8" s="136" t="s">
        <v>153</v>
      </c>
      <c r="C8" s="355">
        <f>'7. LI1'!E10</f>
        <v>4801595.1099999035</v>
      </c>
      <c r="D8" s="360"/>
      <c r="E8" s="356"/>
    </row>
    <row r="9" spans="1:5" x14ac:dyDescent="0.3">
      <c r="A9" s="121">
        <v>1.3</v>
      </c>
      <c r="B9" s="136" t="s">
        <v>152</v>
      </c>
      <c r="C9" s="355">
        <f>'7. LI1'!E11</f>
        <v>39276034.951024972</v>
      </c>
      <c r="D9" s="360"/>
      <c r="E9" s="356"/>
    </row>
    <row r="10" spans="1:5" x14ac:dyDescent="0.3">
      <c r="A10" s="121">
        <v>2</v>
      </c>
      <c r="B10" s="127" t="s">
        <v>151</v>
      </c>
      <c r="C10" s="355">
        <f>'7. LI1'!E12</f>
        <v>775793.56854843523</v>
      </c>
      <c r="D10" s="360"/>
      <c r="E10" s="356"/>
    </row>
    <row r="11" spans="1:5" x14ac:dyDescent="0.3">
      <c r="A11" s="121">
        <v>2.1</v>
      </c>
      <c r="B11" s="141" t="s">
        <v>126</v>
      </c>
      <c r="C11" s="355">
        <f>'7. LI1'!E13</f>
        <v>775793.56854843523</v>
      </c>
      <c r="D11" s="373"/>
      <c r="E11" s="374"/>
    </row>
    <row r="12" spans="1:5" ht="23.45" customHeight="1" x14ac:dyDescent="0.3">
      <c r="A12" s="121">
        <v>3</v>
      </c>
      <c r="B12" s="147" t="s">
        <v>150</v>
      </c>
      <c r="C12" s="355">
        <f>'7. LI1'!E14</f>
        <v>0</v>
      </c>
      <c r="D12" s="373"/>
      <c r="E12" s="374"/>
    </row>
    <row r="13" spans="1:5" ht="23.1" customHeight="1" x14ac:dyDescent="0.3">
      <c r="A13" s="121">
        <v>4</v>
      </c>
      <c r="B13" s="123" t="s">
        <v>149</v>
      </c>
      <c r="C13" s="355">
        <f>'7. LI1'!E15</f>
        <v>0</v>
      </c>
      <c r="D13" s="373"/>
      <c r="E13" s="374"/>
    </row>
    <row r="14" spans="1:5" ht="21" x14ac:dyDescent="0.3">
      <c r="A14" s="121">
        <v>5</v>
      </c>
      <c r="B14" s="123" t="s">
        <v>148</v>
      </c>
      <c r="C14" s="371">
        <f>SUM(C15:C17)</f>
        <v>20000</v>
      </c>
      <c r="D14" s="373"/>
      <c r="E14" s="374"/>
    </row>
    <row r="15" spans="1:5" x14ac:dyDescent="0.3">
      <c r="A15" s="121">
        <v>5.0999999999999996</v>
      </c>
      <c r="B15" s="126" t="s">
        <v>147</v>
      </c>
      <c r="C15" s="355">
        <f>'7. LI1'!E17</f>
        <v>20000</v>
      </c>
      <c r="D15" s="373"/>
      <c r="E15" s="356"/>
    </row>
    <row r="16" spans="1:5" x14ac:dyDescent="0.3">
      <c r="A16" s="121">
        <v>5.2</v>
      </c>
      <c r="B16" s="126" t="s">
        <v>145</v>
      </c>
      <c r="C16" s="355">
        <f>'7. LI1'!E18</f>
        <v>0</v>
      </c>
      <c r="D16" s="360"/>
      <c r="E16" s="356"/>
    </row>
    <row r="17" spans="1:5" x14ac:dyDescent="0.3">
      <c r="A17" s="121">
        <v>5.3</v>
      </c>
      <c r="B17" s="126" t="s">
        <v>144</v>
      </c>
      <c r="C17" s="355">
        <f>'7. LI1'!E19</f>
        <v>0</v>
      </c>
      <c r="D17" s="360"/>
      <c r="E17" s="356"/>
    </row>
    <row r="18" spans="1:5" x14ac:dyDescent="0.3">
      <c r="A18" s="121">
        <v>6</v>
      </c>
      <c r="B18" s="147" t="s">
        <v>146</v>
      </c>
      <c r="C18" s="361">
        <f>SUM(C19:C20)</f>
        <v>131077560.0802357</v>
      </c>
      <c r="D18" s="360"/>
      <c r="E18" s="356"/>
    </row>
    <row r="19" spans="1:5" x14ac:dyDescent="0.3">
      <c r="A19" s="121">
        <v>6.1</v>
      </c>
      <c r="B19" s="126" t="s">
        <v>145</v>
      </c>
      <c r="C19" s="372">
        <f>'7. LI1'!C21</f>
        <v>26600098.002852838</v>
      </c>
      <c r="D19" s="360"/>
      <c r="E19" s="356"/>
    </row>
    <row r="20" spans="1:5" x14ac:dyDescent="0.3">
      <c r="A20" s="121">
        <v>6.2</v>
      </c>
      <c r="B20" s="126" t="s">
        <v>144</v>
      </c>
      <c r="C20" s="372">
        <f>'7. LI1'!C22</f>
        <v>104477462.07738286</v>
      </c>
      <c r="D20" s="360"/>
      <c r="E20" s="356"/>
    </row>
    <row r="21" spans="1:5" x14ac:dyDescent="0.3">
      <c r="A21" s="121">
        <v>7</v>
      </c>
      <c r="B21" s="140" t="s">
        <v>143</v>
      </c>
      <c r="C21" s="371"/>
      <c r="D21" s="360"/>
      <c r="E21" s="356"/>
    </row>
    <row r="22" spans="1:5" x14ac:dyDescent="0.3">
      <c r="A22" s="121">
        <v>8</v>
      </c>
      <c r="B22" s="370" t="s">
        <v>142</v>
      </c>
      <c r="C22" s="361">
        <f>'7. LI1'!E24</f>
        <v>3405446.1870027352</v>
      </c>
      <c r="D22" s="360"/>
      <c r="E22" s="356"/>
    </row>
    <row r="23" spans="1:5" x14ac:dyDescent="0.3">
      <c r="A23" s="121">
        <v>9</v>
      </c>
      <c r="B23" s="123" t="s">
        <v>141</v>
      </c>
      <c r="C23" s="361">
        <f>SUM(C24:C25)</f>
        <v>17637849.192647908</v>
      </c>
      <c r="D23" s="369"/>
      <c r="E23" s="356"/>
    </row>
    <row r="24" spans="1:5" x14ac:dyDescent="0.3">
      <c r="A24" s="121">
        <v>9.1</v>
      </c>
      <c r="B24" s="124" t="s">
        <v>140</v>
      </c>
      <c r="C24" s="368">
        <f>'7. LI1'!E26</f>
        <v>17637849.192647908</v>
      </c>
      <c r="D24" s="357"/>
      <c r="E24" s="356"/>
    </row>
    <row r="25" spans="1:5" x14ac:dyDescent="0.3">
      <c r="A25" s="121">
        <v>9.1999999999999993</v>
      </c>
      <c r="B25" s="124" t="s">
        <v>139</v>
      </c>
      <c r="C25" s="368">
        <f>'7. LI1'!E27</f>
        <v>0</v>
      </c>
      <c r="D25" s="363"/>
      <c r="E25" s="353"/>
    </row>
    <row r="26" spans="1:5" x14ac:dyDescent="0.3">
      <c r="A26" s="121">
        <v>10</v>
      </c>
      <c r="B26" s="123" t="s">
        <v>138</v>
      </c>
      <c r="C26" s="367">
        <f>SUM(C27:C28)</f>
        <v>1471438.6299999997</v>
      </c>
      <c r="D26" s="344" t="s">
        <v>389</v>
      </c>
      <c r="E26" s="356"/>
    </row>
    <row r="27" spans="1:5" x14ac:dyDescent="0.3">
      <c r="A27" s="121">
        <v>10.1</v>
      </c>
      <c r="B27" s="124" t="s">
        <v>137</v>
      </c>
      <c r="C27" s="355">
        <f>'7. LI1'!C29</f>
        <v>0</v>
      </c>
      <c r="D27" s="360"/>
      <c r="E27" s="356"/>
    </row>
    <row r="28" spans="1:5" x14ac:dyDescent="0.3">
      <c r="A28" s="121">
        <v>10.199999999999999</v>
      </c>
      <c r="B28" s="124" t="s">
        <v>136</v>
      </c>
      <c r="C28" s="355">
        <f>'7. LI1'!C30</f>
        <v>1471438.6299999997</v>
      </c>
      <c r="D28" s="360"/>
      <c r="E28" s="356"/>
    </row>
    <row r="29" spans="1:5" x14ac:dyDescent="0.3">
      <c r="A29" s="121">
        <v>11</v>
      </c>
      <c r="B29" s="123" t="s">
        <v>135</v>
      </c>
      <c r="C29" s="361">
        <f>SUM(C30:C31)</f>
        <v>45248.5</v>
      </c>
      <c r="D29" s="360"/>
      <c r="E29" s="356"/>
    </row>
    <row r="30" spans="1:5" x14ac:dyDescent="0.3">
      <c r="A30" s="121">
        <v>11.1</v>
      </c>
      <c r="B30" s="124" t="s">
        <v>134</v>
      </c>
      <c r="C30" s="355">
        <f>'7. LI1'!C32</f>
        <v>45248.5</v>
      </c>
      <c r="D30" s="360"/>
      <c r="E30" s="356"/>
    </row>
    <row r="31" spans="1:5" x14ac:dyDescent="0.3">
      <c r="A31" s="121">
        <v>11.2</v>
      </c>
      <c r="B31" s="124" t="s">
        <v>133</v>
      </c>
      <c r="C31" s="355">
        <f>'7. LI1'!C33</f>
        <v>0</v>
      </c>
      <c r="D31" s="360"/>
      <c r="E31" s="356"/>
    </row>
    <row r="32" spans="1:5" x14ac:dyDescent="0.3">
      <c r="A32" s="121">
        <v>13</v>
      </c>
      <c r="B32" s="123" t="s">
        <v>132</v>
      </c>
      <c r="C32" s="355">
        <f>'7. LI1'!C34</f>
        <v>12022905.029500002</v>
      </c>
      <c r="D32" s="360"/>
      <c r="E32" s="356"/>
    </row>
    <row r="33" spans="1:5" x14ac:dyDescent="0.3">
      <c r="A33" s="121">
        <v>13.1</v>
      </c>
      <c r="B33" s="144" t="s">
        <v>131</v>
      </c>
      <c r="C33" s="355">
        <f>'7. LI1'!C35</f>
        <v>0</v>
      </c>
      <c r="D33" s="360"/>
      <c r="E33" s="356"/>
    </row>
    <row r="34" spans="1:5" x14ac:dyDescent="0.3">
      <c r="A34" s="121">
        <v>13.2</v>
      </c>
      <c r="B34" s="144" t="s">
        <v>130</v>
      </c>
      <c r="C34" s="355">
        <f>'7. LI1'!C36</f>
        <v>0</v>
      </c>
      <c r="D34" s="357"/>
      <c r="E34" s="356"/>
    </row>
    <row r="35" spans="1:5" x14ac:dyDescent="0.3">
      <c r="A35" s="121">
        <v>14</v>
      </c>
      <c r="B35" s="129" t="s">
        <v>129</v>
      </c>
      <c r="C35" s="366">
        <f>SUM(C6,C10,C12,C13,C14,C18,C21,C22,C23,C26,C29,C32)</f>
        <v>215398633.03895968</v>
      </c>
      <c r="D35" s="357"/>
      <c r="E35" s="356"/>
    </row>
    <row r="36" spans="1:5" x14ac:dyDescent="0.3">
      <c r="A36" s="121"/>
      <c r="B36" s="134" t="s">
        <v>128</v>
      </c>
      <c r="C36" s="365"/>
      <c r="D36" s="364"/>
      <c r="E36" s="356"/>
    </row>
    <row r="37" spans="1:5" x14ac:dyDescent="0.3">
      <c r="A37" s="121">
        <v>15</v>
      </c>
      <c r="B37" s="142" t="s">
        <v>127</v>
      </c>
      <c r="C37" s="362">
        <f>'2. SOFP'!E38</f>
        <v>240</v>
      </c>
      <c r="D37" s="363"/>
      <c r="E37" s="353"/>
    </row>
    <row r="38" spans="1:5" x14ac:dyDescent="0.3">
      <c r="A38" s="121">
        <v>15.1</v>
      </c>
      <c r="B38" s="141" t="s">
        <v>126</v>
      </c>
      <c r="C38" s="362">
        <f>'2. SOFP'!E39</f>
        <v>240</v>
      </c>
      <c r="D38" s="360"/>
      <c r="E38" s="356"/>
    </row>
    <row r="39" spans="1:5" ht="21" x14ac:dyDescent="0.3">
      <c r="A39" s="121">
        <v>16</v>
      </c>
      <c r="B39" s="140" t="s">
        <v>125</v>
      </c>
      <c r="C39" s="362">
        <f>'2. SOFP'!E40</f>
        <v>0</v>
      </c>
      <c r="D39" s="360"/>
      <c r="E39" s="356"/>
    </row>
    <row r="40" spans="1:5" x14ac:dyDescent="0.3">
      <c r="A40" s="121">
        <v>17</v>
      </c>
      <c r="B40" s="140" t="s">
        <v>124</v>
      </c>
      <c r="C40" s="361">
        <f>SUM(C41:C44)</f>
        <v>153477493.87435591</v>
      </c>
      <c r="D40" s="360"/>
      <c r="E40" s="356"/>
    </row>
    <row r="41" spans="1:5" x14ac:dyDescent="0.3">
      <c r="A41" s="121">
        <v>17.100000000000001</v>
      </c>
      <c r="B41" s="128" t="s">
        <v>123</v>
      </c>
      <c r="C41" s="355">
        <f>'2. SOFP'!E42</f>
        <v>152435967.19317639</v>
      </c>
      <c r="D41" s="360"/>
      <c r="E41" s="356"/>
    </row>
    <row r="42" spans="1:5" x14ac:dyDescent="0.3">
      <c r="A42" s="359">
        <v>17.2</v>
      </c>
      <c r="B42" s="358" t="s">
        <v>122</v>
      </c>
      <c r="C42" s="355">
        <f>'2. SOFP'!E43</f>
        <v>0</v>
      </c>
      <c r="D42" s="357"/>
      <c r="E42" s="356"/>
    </row>
    <row r="43" spans="1:5" x14ac:dyDescent="0.3">
      <c r="A43" s="121">
        <v>17.3</v>
      </c>
      <c r="B43" s="349" t="s">
        <v>121</v>
      </c>
      <c r="C43" s="355">
        <f>'2. SOFP'!E44</f>
        <v>0</v>
      </c>
      <c r="D43" s="354"/>
      <c r="E43" s="356"/>
    </row>
    <row r="44" spans="1:5" x14ac:dyDescent="0.3">
      <c r="A44" s="121">
        <v>17.399999999999999</v>
      </c>
      <c r="B44" s="349" t="s">
        <v>120</v>
      </c>
      <c r="C44" s="355">
        <f>'2. SOFP'!E45</f>
        <v>1041526.6811795364</v>
      </c>
      <c r="D44" s="354"/>
      <c r="E44" s="356"/>
    </row>
    <row r="45" spans="1:5" x14ac:dyDescent="0.3">
      <c r="A45" s="121">
        <v>18</v>
      </c>
      <c r="B45" s="120" t="s">
        <v>119</v>
      </c>
      <c r="C45" s="355">
        <f>'2. SOFP'!E46</f>
        <v>33566.079603979088</v>
      </c>
      <c r="D45" s="354"/>
      <c r="E45" s="353"/>
    </row>
    <row r="46" spans="1:5" x14ac:dyDescent="0.3">
      <c r="A46" s="121">
        <v>19</v>
      </c>
      <c r="B46" s="120" t="s">
        <v>118</v>
      </c>
      <c r="C46" s="350">
        <f>SUM(C47:C48)</f>
        <v>1307473.9418616393</v>
      </c>
      <c r="D46" s="20"/>
    </row>
    <row r="47" spans="1:5" x14ac:dyDescent="0.3">
      <c r="A47" s="121">
        <v>19.100000000000001</v>
      </c>
      <c r="B47" s="347" t="s">
        <v>117</v>
      </c>
      <c r="C47" s="351">
        <f>'2. SOFP'!E48</f>
        <v>0</v>
      </c>
      <c r="D47" s="20"/>
    </row>
    <row r="48" spans="1:5" x14ac:dyDescent="0.3">
      <c r="A48" s="121">
        <v>19.2</v>
      </c>
      <c r="B48" s="347" t="s">
        <v>116</v>
      </c>
      <c r="C48" s="351">
        <f>'2. SOFP'!E49</f>
        <v>1307473.9418616393</v>
      </c>
      <c r="D48" s="20"/>
    </row>
    <row r="49" spans="1:4" x14ac:dyDescent="0.3">
      <c r="A49" s="121">
        <v>20</v>
      </c>
      <c r="B49" s="129" t="s">
        <v>115</v>
      </c>
      <c r="C49" s="352">
        <f>'2. SOFP'!E50</f>
        <v>1839125.4834185585</v>
      </c>
      <c r="D49" s="20"/>
    </row>
    <row r="50" spans="1:4" x14ac:dyDescent="0.3">
      <c r="A50" s="121">
        <v>20.100000000000001</v>
      </c>
      <c r="B50" s="129" t="s">
        <v>388</v>
      </c>
      <c r="C50" s="352">
        <v>0</v>
      </c>
      <c r="D50" s="344" t="s">
        <v>387</v>
      </c>
    </row>
    <row r="51" spans="1:4" x14ac:dyDescent="0.3">
      <c r="A51" s="121">
        <v>21</v>
      </c>
      <c r="B51" s="127" t="s">
        <v>114</v>
      </c>
      <c r="C51" s="351">
        <f>'2. SOFP'!E51</f>
        <v>853873.55999999959</v>
      </c>
      <c r="D51" s="20"/>
    </row>
    <row r="52" spans="1:4" x14ac:dyDescent="0.3">
      <c r="A52" s="121">
        <v>21.1</v>
      </c>
      <c r="B52" s="136" t="s">
        <v>113</v>
      </c>
      <c r="C52" s="351">
        <f>'2. SOFP'!E52</f>
        <v>0</v>
      </c>
      <c r="D52" s="20"/>
    </row>
    <row r="53" spans="1:4" x14ac:dyDescent="0.3">
      <c r="A53" s="121">
        <v>22</v>
      </c>
      <c r="B53" s="129" t="s">
        <v>112</v>
      </c>
      <c r="C53" s="350">
        <f>SUM(C37,C39,C40,C45,C46,C49,C51)</f>
        <v>157511772.93924007</v>
      </c>
      <c r="D53" s="20"/>
    </row>
    <row r="54" spans="1:4" x14ac:dyDescent="0.3">
      <c r="A54" s="121"/>
      <c r="B54" s="134" t="s">
        <v>111</v>
      </c>
      <c r="C54" s="20"/>
      <c r="D54" s="20"/>
    </row>
    <row r="55" spans="1:4" x14ac:dyDescent="0.3">
      <c r="A55" s="121">
        <v>23</v>
      </c>
      <c r="B55" s="129" t="s">
        <v>110</v>
      </c>
      <c r="C55" s="343">
        <f>'2. SOFP'!E55</f>
        <v>79746400</v>
      </c>
      <c r="D55" s="20"/>
    </row>
    <row r="56" spans="1:4" x14ac:dyDescent="0.3">
      <c r="A56" s="121">
        <v>24</v>
      </c>
      <c r="B56" s="129" t="s">
        <v>108</v>
      </c>
      <c r="C56" s="343">
        <f>'2. SOFP'!E56</f>
        <v>0</v>
      </c>
      <c r="D56" s="20"/>
    </row>
    <row r="57" spans="1:4" x14ac:dyDescent="0.3">
      <c r="A57" s="121">
        <v>25</v>
      </c>
      <c r="B57" s="129" t="s">
        <v>107</v>
      </c>
      <c r="C57" s="343">
        <f>'2. SOFP'!E57</f>
        <v>0</v>
      </c>
      <c r="D57" s="20"/>
    </row>
    <row r="58" spans="1:4" x14ac:dyDescent="0.3">
      <c r="A58" s="121">
        <v>26</v>
      </c>
      <c r="B58" s="120" t="s">
        <v>106</v>
      </c>
      <c r="C58" s="343">
        <f>'2. SOFP'!E58</f>
        <v>0</v>
      </c>
      <c r="D58" s="20"/>
    </row>
    <row r="59" spans="1:4" x14ac:dyDescent="0.3">
      <c r="A59" s="121">
        <v>27</v>
      </c>
      <c r="B59" s="120" t="s">
        <v>105</v>
      </c>
      <c r="C59" s="343">
        <f>SUM(C60:C61)</f>
        <v>0</v>
      </c>
      <c r="D59" s="20"/>
    </row>
    <row r="60" spans="1:4" x14ac:dyDescent="0.3">
      <c r="A60" s="121">
        <v>27.1</v>
      </c>
      <c r="B60" s="347" t="s">
        <v>104</v>
      </c>
      <c r="C60" s="345">
        <f>'2. SOFP'!E60</f>
        <v>0</v>
      </c>
      <c r="D60" s="20"/>
    </row>
    <row r="61" spans="1:4" x14ac:dyDescent="0.3">
      <c r="A61" s="121">
        <v>27.2</v>
      </c>
      <c r="B61" s="349" t="s">
        <v>103</v>
      </c>
      <c r="C61" s="345">
        <f>'2. SOFP'!E61</f>
        <v>0</v>
      </c>
      <c r="D61" s="20"/>
    </row>
    <row r="62" spans="1:4" x14ac:dyDescent="0.3">
      <c r="A62" s="121">
        <v>28</v>
      </c>
      <c r="B62" s="127" t="s">
        <v>102</v>
      </c>
      <c r="C62" s="345">
        <f>'2. SOFP'!E62</f>
        <v>0</v>
      </c>
      <c r="D62" s="20"/>
    </row>
    <row r="63" spans="1:4" x14ac:dyDescent="0.3">
      <c r="A63" s="121">
        <v>29</v>
      </c>
      <c r="B63" s="120" t="s">
        <v>101</v>
      </c>
      <c r="C63" s="343">
        <f>SUM(C64:C66)</f>
        <v>3615196.900470661</v>
      </c>
      <c r="D63" s="20"/>
    </row>
    <row r="64" spans="1:4" x14ac:dyDescent="0.3">
      <c r="A64" s="121">
        <v>29.1</v>
      </c>
      <c r="B64" s="348" t="s">
        <v>100</v>
      </c>
      <c r="C64" s="345">
        <f>'2. SOFP'!E64</f>
        <v>3615196.900470661</v>
      </c>
      <c r="D64" s="20"/>
    </row>
    <row r="65" spans="1:4" ht="24" customHeight="1" x14ac:dyDescent="0.3">
      <c r="A65" s="121">
        <v>29.2</v>
      </c>
      <c r="B65" s="347" t="s">
        <v>99</v>
      </c>
      <c r="C65" s="345">
        <f>'2. SOFP'!E65</f>
        <v>0</v>
      </c>
      <c r="D65" s="20"/>
    </row>
    <row r="66" spans="1:4" ht="21.95" customHeight="1" x14ac:dyDescent="0.3">
      <c r="A66" s="121">
        <v>29.3</v>
      </c>
      <c r="B66" s="346" t="s">
        <v>98</v>
      </c>
      <c r="C66" s="345">
        <f>'2. SOFP'!E66</f>
        <v>0</v>
      </c>
      <c r="D66" s="20"/>
    </row>
    <row r="67" spans="1:4" x14ac:dyDescent="0.3">
      <c r="A67" s="121">
        <v>30</v>
      </c>
      <c r="B67" s="120" t="s">
        <v>97</v>
      </c>
      <c r="C67" s="345">
        <f>'2. SOFP'!E67</f>
        <v>-25474736.733879618</v>
      </c>
      <c r="D67" s="344" t="s">
        <v>386</v>
      </c>
    </row>
    <row r="68" spans="1:4" x14ac:dyDescent="0.3">
      <c r="A68" s="121">
        <v>31</v>
      </c>
      <c r="B68" s="122" t="s">
        <v>96</v>
      </c>
      <c r="C68" s="343">
        <f>SUM(C55,C56,C57,C58,C59,C62,C63,C67)</f>
        <v>57886860.166591041</v>
      </c>
      <c r="D68" s="20"/>
    </row>
    <row r="69" spans="1:4" x14ac:dyDescent="0.3">
      <c r="A69" s="121">
        <v>32</v>
      </c>
      <c r="B69" s="120" t="s">
        <v>95</v>
      </c>
      <c r="C69" s="343">
        <f>SUM(C53,C68)</f>
        <v>215398633.10583112</v>
      </c>
      <c r="D69" s="20"/>
    </row>
    <row r="70" spans="1:4" x14ac:dyDescent="0.3">
      <c r="C70" s="342"/>
    </row>
    <row r="71" spans="1:4" x14ac:dyDescent="0.3">
      <c r="C71" s="341"/>
    </row>
    <row r="72" spans="1:4" x14ac:dyDescent="0.3">
      <c r="C72" s="341"/>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552A-A5B9-41E4-8095-4E0100A74D79}">
  <dimension ref="A1:S25"/>
  <sheetViews>
    <sheetView zoomScale="70" zoomScaleNormal="70" workbookViewId="0">
      <pane xSplit="2" ySplit="7" topLeftCell="C8" activePane="bottomRight" state="frozen"/>
      <selection activeCell="D51" sqref="D51"/>
      <selection pane="topRight" activeCell="D51" sqref="D51"/>
      <selection pane="bottomLeft" activeCell="D51" sqref="D51"/>
      <selection pane="bottomRight" activeCell="G17" sqref="G17"/>
    </sheetView>
  </sheetViews>
  <sheetFormatPr defaultColWidth="9.140625" defaultRowHeight="13.5" x14ac:dyDescent="0.25"/>
  <cols>
    <col min="1" max="1" width="10.5703125" style="1" bestFit="1" customWidth="1"/>
    <col min="2" max="2" width="95" style="1" customWidth="1"/>
    <col min="3" max="3" width="13.85546875" style="1" customWidth="1"/>
    <col min="4" max="4" width="13.28515625" style="1" bestFit="1" customWidth="1"/>
    <col min="5" max="5" width="14" style="1" customWidth="1"/>
    <col min="6" max="6" width="13.28515625" style="1" bestFit="1" customWidth="1"/>
    <col min="7" max="7" width="16.140625" style="1" customWidth="1"/>
    <col min="8" max="8" width="13.28515625" style="1" bestFit="1" customWidth="1"/>
    <col min="9" max="9" width="12.42578125" style="1" customWidth="1"/>
    <col min="10" max="10" width="13.28515625" style="1" bestFit="1" customWidth="1"/>
    <col min="11" max="11" width="11.5703125" style="1" customWidth="1"/>
    <col min="12" max="12" width="13.28515625" style="1" bestFit="1" customWidth="1"/>
    <col min="13" max="13" width="13.42578125" style="1" customWidth="1"/>
    <col min="14" max="14" width="13.28515625" style="1" bestFit="1" customWidth="1"/>
    <col min="15" max="15" width="14" style="1" customWidth="1"/>
    <col min="16" max="16" width="13.28515625" style="1" bestFit="1" customWidth="1"/>
    <col min="17" max="17" width="13" style="1" customWidth="1"/>
    <col min="18" max="18" width="14" style="1" customWidth="1"/>
    <col min="19" max="19" width="31.5703125" style="1" bestFit="1" customWidth="1"/>
    <col min="20" max="16384" width="9.140625" style="194"/>
  </cols>
  <sheetData>
    <row r="1" spans="1:19" x14ac:dyDescent="0.25">
      <c r="A1" s="1" t="s">
        <v>94</v>
      </c>
      <c r="B1" s="1" t="str">
        <f>Info!C2</f>
        <v>სს სილქ ბანკი</v>
      </c>
    </row>
    <row r="2" spans="1:19" x14ac:dyDescent="0.25">
      <c r="A2" s="1" t="s">
        <v>93</v>
      </c>
      <c r="B2" s="114">
        <f>'1. key ratios'!B2</f>
        <v>45565</v>
      </c>
    </row>
    <row r="4" spans="1:19" ht="40.5" customHeight="1" thickBot="1" x14ac:dyDescent="0.3">
      <c r="A4" s="263" t="s">
        <v>426</v>
      </c>
      <c r="B4" s="401" t="s">
        <v>425</v>
      </c>
    </row>
    <row r="5" spans="1:19" x14ac:dyDescent="0.25">
      <c r="A5" s="400"/>
      <c r="B5" s="399"/>
      <c r="C5" s="398" t="s">
        <v>299</v>
      </c>
      <c r="D5" s="398" t="s">
        <v>298</v>
      </c>
      <c r="E5" s="398" t="s">
        <v>297</v>
      </c>
      <c r="F5" s="398" t="s">
        <v>424</v>
      </c>
      <c r="G5" s="398" t="s">
        <v>423</v>
      </c>
      <c r="H5" s="398" t="s">
        <v>422</v>
      </c>
      <c r="I5" s="398" t="s">
        <v>421</v>
      </c>
      <c r="J5" s="398" t="s">
        <v>420</v>
      </c>
      <c r="K5" s="398" t="s">
        <v>419</v>
      </c>
      <c r="L5" s="398" t="s">
        <v>418</v>
      </c>
      <c r="M5" s="398" t="s">
        <v>417</v>
      </c>
      <c r="N5" s="398" t="s">
        <v>416</v>
      </c>
      <c r="O5" s="398" t="s">
        <v>415</v>
      </c>
      <c r="P5" s="398" t="s">
        <v>414</v>
      </c>
      <c r="Q5" s="398" t="s">
        <v>413</v>
      </c>
      <c r="R5" s="397" t="s">
        <v>412</v>
      </c>
      <c r="S5" s="396" t="s">
        <v>411</v>
      </c>
    </row>
    <row r="6" spans="1:19" ht="46.5" customHeight="1" x14ac:dyDescent="0.25">
      <c r="A6" s="395"/>
      <c r="B6" s="814" t="s">
        <v>410</v>
      </c>
      <c r="C6" s="812">
        <v>0</v>
      </c>
      <c r="D6" s="813"/>
      <c r="E6" s="812">
        <v>0.2</v>
      </c>
      <c r="F6" s="813"/>
      <c r="G6" s="812">
        <v>0.35</v>
      </c>
      <c r="H6" s="813"/>
      <c r="I6" s="812">
        <v>0.5</v>
      </c>
      <c r="J6" s="813"/>
      <c r="K6" s="812">
        <v>0.75</v>
      </c>
      <c r="L6" s="813"/>
      <c r="M6" s="812">
        <v>1</v>
      </c>
      <c r="N6" s="813"/>
      <c r="O6" s="812">
        <v>1.5</v>
      </c>
      <c r="P6" s="813"/>
      <c r="Q6" s="812">
        <v>2.5</v>
      </c>
      <c r="R6" s="813"/>
      <c r="S6" s="810" t="s">
        <v>409</v>
      </c>
    </row>
    <row r="7" spans="1:19" x14ac:dyDescent="0.25">
      <c r="A7" s="395"/>
      <c r="B7" s="815"/>
      <c r="C7" s="394" t="s">
        <v>408</v>
      </c>
      <c r="D7" s="394" t="s">
        <v>407</v>
      </c>
      <c r="E7" s="394" t="s">
        <v>408</v>
      </c>
      <c r="F7" s="394" t="s">
        <v>407</v>
      </c>
      <c r="G7" s="394" t="s">
        <v>408</v>
      </c>
      <c r="H7" s="394" t="s">
        <v>407</v>
      </c>
      <c r="I7" s="394" t="s">
        <v>408</v>
      </c>
      <c r="J7" s="394" t="s">
        <v>407</v>
      </c>
      <c r="K7" s="394" t="s">
        <v>408</v>
      </c>
      <c r="L7" s="394" t="s">
        <v>407</v>
      </c>
      <c r="M7" s="394" t="s">
        <v>408</v>
      </c>
      <c r="N7" s="394" t="s">
        <v>407</v>
      </c>
      <c r="O7" s="394" t="s">
        <v>408</v>
      </c>
      <c r="P7" s="394" t="s">
        <v>407</v>
      </c>
      <c r="Q7" s="394" t="s">
        <v>408</v>
      </c>
      <c r="R7" s="394" t="s">
        <v>407</v>
      </c>
      <c r="S7" s="811"/>
    </row>
    <row r="8" spans="1:19" x14ac:dyDescent="0.25">
      <c r="A8" s="392">
        <v>1</v>
      </c>
      <c r="B8" s="393" t="s">
        <v>406</v>
      </c>
      <c r="C8" s="390">
        <v>25762981.789048743</v>
      </c>
      <c r="D8" s="390"/>
      <c r="E8" s="390">
        <v>0</v>
      </c>
      <c r="F8" s="389"/>
      <c r="G8" s="390">
        <v>0</v>
      </c>
      <c r="H8" s="390"/>
      <c r="I8" s="390">
        <v>0</v>
      </c>
      <c r="J8" s="390"/>
      <c r="K8" s="390">
        <v>0</v>
      </c>
      <c r="L8" s="390"/>
      <c r="M8" s="390">
        <v>3341485.0099999988</v>
      </c>
      <c r="N8" s="390"/>
      <c r="O8" s="390">
        <v>0</v>
      </c>
      <c r="P8" s="390"/>
      <c r="Q8" s="390">
        <v>0</v>
      </c>
      <c r="R8" s="389"/>
      <c r="S8" s="388">
        <f t="shared" ref="S8:S21" si="0">$C$6*SUM(C8:D8)+$E$6*SUM(E8:F8)+$G$6*SUM(G8:H8)+$I$6*SUM(I8:J8)+$K$6*SUM(K8:L8)+$M$6*SUM(M8:N8)+$O$6*SUM(O8:P8)+$Q$6*SUM(Q8:R8)</f>
        <v>3341485.0099999988</v>
      </c>
    </row>
    <row r="9" spans="1:19" x14ac:dyDescent="0.25">
      <c r="A9" s="392">
        <v>2</v>
      </c>
      <c r="B9" s="393" t="s">
        <v>405</v>
      </c>
      <c r="C9" s="390">
        <v>0</v>
      </c>
      <c r="D9" s="390"/>
      <c r="E9" s="390">
        <v>0</v>
      </c>
      <c r="F9" s="390"/>
      <c r="G9" s="390">
        <v>0</v>
      </c>
      <c r="H9" s="390"/>
      <c r="I9" s="390">
        <v>0</v>
      </c>
      <c r="J9" s="390"/>
      <c r="K9" s="390">
        <v>0</v>
      </c>
      <c r="L9" s="390"/>
      <c r="M9" s="390">
        <v>0</v>
      </c>
      <c r="N9" s="390"/>
      <c r="O9" s="390">
        <v>0</v>
      </c>
      <c r="P9" s="390"/>
      <c r="Q9" s="390">
        <v>0</v>
      </c>
      <c r="R9" s="389"/>
      <c r="S9" s="388">
        <f t="shared" si="0"/>
        <v>0</v>
      </c>
    </row>
    <row r="10" spans="1:19" x14ac:dyDescent="0.25">
      <c r="A10" s="392">
        <v>3</v>
      </c>
      <c r="B10" s="393" t="s">
        <v>404</v>
      </c>
      <c r="C10" s="390">
        <v>0</v>
      </c>
      <c r="D10" s="390"/>
      <c r="E10" s="390">
        <v>0</v>
      </c>
      <c r="F10" s="390"/>
      <c r="G10" s="390">
        <v>0</v>
      </c>
      <c r="H10" s="390"/>
      <c r="I10" s="390">
        <v>0</v>
      </c>
      <c r="J10" s="390"/>
      <c r="K10" s="390">
        <v>0</v>
      </c>
      <c r="L10" s="390"/>
      <c r="M10" s="390">
        <v>0</v>
      </c>
      <c r="N10" s="390"/>
      <c r="O10" s="390">
        <v>0</v>
      </c>
      <c r="P10" s="390"/>
      <c r="Q10" s="390">
        <v>0</v>
      </c>
      <c r="R10" s="389"/>
      <c r="S10" s="388">
        <f t="shared" si="0"/>
        <v>0</v>
      </c>
    </row>
    <row r="11" spans="1:19" x14ac:dyDescent="0.25">
      <c r="A11" s="392">
        <v>4</v>
      </c>
      <c r="B11" s="393" t="s">
        <v>403</v>
      </c>
      <c r="C11" s="390">
        <v>0</v>
      </c>
      <c r="D11" s="390"/>
      <c r="E11" s="390">
        <v>0</v>
      </c>
      <c r="F11" s="390"/>
      <c r="G11" s="390">
        <v>0</v>
      </c>
      <c r="H11" s="390"/>
      <c r="I11" s="390">
        <v>0</v>
      </c>
      <c r="J11" s="390"/>
      <c r="K11" s="390">
        <v>0</v>
      </c>
      <c r="L11" s="390"/>
      <c r="M11" s="390">
        <v>0</v>
      </c>
      <c r="N11" s="390"/>
      <c r="O11" s="390">
        <v>0</v>
      </c>
      <c r="P11" s="390"/>
      <c r="Q11" s="390">
        <v>0</v>
      </c>
      <c r="R11" s="389"/>
      <c r="S11" s="388">
        <f t="shared" si="0"/>
        <v>0</v>
      </c>
    </row>
    <row r="12" spans="1:19" x14ac:dyDescent="0.25">
      <c r="A12" s="392">
        <v>5</v>
      </c>
      <c r="B12" s="393" t="s">
        <v>402</v>
      </c>
      <c r="C12" s="390">
        <v>0</v>
      </c>
      <c r="D12" s="390"/>
      <c r="E12" s="390">
        <v>0</v>
      </c>
      <c r="F12" s="390"/>
      <c r="G12" s="390">
        <v>0</v>
      </c>
      <c r="H12" s="390"/>
      <c r="I12" s="390">
        <v>0</v>
      </c>
      <c r="J12" s="390"/>
      <c r="K12" s="390">
        <v>0</v>
      </c>
      <c r="L12" s="390"/>
      <c r="M12" s="390">
        <v>0</v>
      </c>
      <c r="N12" s="390"/>
      <c r="O12" s="390">
        <v>0</v>
      </c>
      <c r="P12" s="390"/>
      <c r="Q12" s="390">
        <v>0</v>
      </c>
      <c r="R12" s="389"/>
      <c r="S12" s="388">
        <f t="shared" si="0"/>
        <v>0</v>
      </c>
    </row>
    <row r="13" spans="1:19" x14ac:dyDescent="0.25">
      <c r="A13" s="392">
        <v>6</v>
      </c>
      <c r="B13" s="393" t="s">
        <v>401</v>
      </c>
      <c r="C13" s="390">
        <v>0</v>
      </c>
      <c r="D13" s="390"/>
      <c r="E13" s="390">
        <v>30933066.871024918</v>
      </c>
      <c r="F13" s="390"/>
      <c r="G13" s="390">
        <v>0</v>
      </c>
      <c r="H13" s="390"/>
      <c r="I13" s="390">
        <v>0</v>
      </c>
      <c r="J13" s="390"/>
      <c r="K13" s="390">
        <v>0</v>
      </c>
      <c r="L13" s="390"/>
      <c r="M13" s="390">
        <v>8342968.079999987</v>
      </c>
      <c r="N13" s="390"/>
      <c r="O13" s="390">
        <v>0</v>
      </c>
      <c r="P13" s="390"/>
      <c r="Q13" s="390">
        <v>0</v>
      </c>
      <c r="R13" s="389"/>
      <c r="S13" s="388">
        <f t="shared" si="0"/>
        <v>14529581.454204971</v>
      </c>
    </row>
    <row r="14" spans="1:19" x14ac:dyDescent="0.25">
      <c r="A14" s="392">
        <v>7</v>
      </c>
      <c r="B14" s="393" t="s">
        <v>400</v>
      </c>
      <c r="C14" s="390">
        <v>0</v>
      </c>
      <c r="D14" s="390"/>
      <c r="E14" s="390">
        <v>0</v>
      </c>
      <c r="F14" s="390"/>
      <c r="G14" s="390">
        <v>0</v>
      </c>
      <c r="H14" s="390"/>
      <c r="I14" s="390">
        <v>0</v>
      </c>
      <c r="J14" s="390">
        <v>0</v>
      </c>
      <c r="K14" s="390">
        <v>0</v>
      </c>
      <c r="L14" s="390"/>
      <c r="M14" s="390">
        <v>81201080.980000004</v>
      </c>
      <c r="N14" s="390">
        <v>4714329</v>
      </c>
      <c r="O14" s="390">
        <v>0</v>
      </c>
      <c r="P14" s="390"/>
      <c r="Q14" s="390">
        <v>0</v>
      </c>
      <c r="R14" s="389"/>
      <c r="S14" s="388">
        <f t="shared" si="0"/>
        <v>85915409.980000004</v>
      </c>
    </row>
    <row r="15" spans="1:19" x14ac:dyDescent="0.25">
      <c r="A15" s="392">
        <v>8</v>
      </c>
      <c r="B15" s="391" t="s">
        <v>399</v>
      </c>
      <c r="C15" s="390">
        <v>0</v>
      </c>
      <c r="D15" s="390"/>
      <c r="E15" s="390">
        <v>0</v>
      </c>
      <c r="F15" s="390"/>
      <c r="G15" s="390">
        <v>0</v>
      </c>
      <c r="H15" s="390"/>
      <c r="I15" s="390">
        <v>0</v>
      </c>
      <c r="J15" s="390"/>
      <c r="K15" s="390">
        <v>17139347.190000001</v>
      </c>
      <c r="L15" s="390"/>
      <c r="M15" s="390">
        <v>7096680.2599999998</v>
      </c>
      <c r="N15" s="390"/>
      <c r="O15" s="390">
        <v>0</v>
      </c>
      <c r="P15" s="390"/>
      <c r="Q15" s="390">
        <v>0</v>
      </c>
      <c r="R15" s="389"/>
      <c r="S15" s="388">
        <f t="shared" si="0"/>
        <v>19951190.652500004</v>
      </c>
    </row>
    <row r="16" spans="1:19" x14ac:dyDescent="0.25">
      <c r="A16" s="392">
        <v>9</v>
      </c>
      <c r="B16" s="391" t="s">
        <v>398</v>
      </c>
      <c r="C16" s="390">
        <v>0</v>
      </c>
      <c r="D16" s="390"/>
      <c r="E16" s="390">
        <v>0</v>
      </c>
      <c r="F16" s="390"/>
      <c r="G16" s="390">
        <v>0</v>
      </c>
      <c r="H16" s="390"/>
      <c r="I16" s="390">
        <v>0</v>
      </c>
      <c r="J16" s="390"/>
      <c r="K16" s="390">
        <v>0</v>
      </c>
      <c r="L16" s="390"/>
      <c r="M16" s="390">
        <v>0</v>
      </c>
      <c r="N16" s="390"/>
      <c r="O16" s="390">
        <v>0</v>
      </c>
      <c r="P16" s="390"/>
      <c r="Q16" s="390">
        <v>0</v>
      </c>
      <c r="R16" s="389"/>
      <c r="S16" s="388">
        <f t="shared" si="0"/>
        <v>0</v>
      </c>
    </row>
    <row r="17" spans="1:19" x14ac:dyDescent="0.25">
      <c r="A17" s="392">
        <v>10</v>
      </c>
      <c r="B17" s="391" t="s">
        <v>397</v>
      </c>
      <c r="C17" s="390">
        <v>0</v>
      </c>
      <c r="D17" s="390"/>
      <c r="E17" s="390">
        <v>0</v>
      </c>
      <c r="F17" s="390"/>
      <c r="G17" s="390">
        <v>0</v>
      </c>
      <c r="H17" s="390"/>
      <c r="I17" s="390">
        <v>0</v>
      </c>
      <c r="J17" s="390"/>
      <c r="K17" s="390">
        <v>0</v>
      </c>
      <c r="L17" s="390"/>
      <c r="M17" s="390">
        <v>221254.12</v>
      </c>
      <c r="N17" s="390"/>
      <c r="O17" s="390">
        <v>0</v>
      </c>
      <c r="P17" s="390"/>
      <c r="Q17" s="390">
        <v>0</v>
      </c>
      <c r="R17" s="389"/>
      <c r="S17" s="388">
        <f t="shared" si="0"/>
        <v>221254.12</v>
      </c>
    </row>
    <row r="18" spans="1:19" x14ac:dyDescent="0.25">
      <c r="A18" s="392">
        <v>11</v>
      </c>
      <c r="B18" s="391" t="s">
        <v>396</v>
      </c>
      <c r="C18" s="390">
        <v>0</v>
      </c>
      <c r="D18" s="390"/>
      <c r="E18" s="390">
        <v>0</v>
      </c>
      <c r="F18" s="390"/>
      <c r="G18" s="390">
        <v>0</v>
      </c>
      <c r="H18" s="390"/>
      <c r="I18" s="390">
        <v>0</v>
      </c>
      <c r="J18" s="390"/>
      <c r="K18" s="390">
        <v>0</v>
      </c>
      <c r="L18" s="390"/>
      <c r="M18" s="390">
        <v>0</v>
      </c>
      <c r="N18" s="390"/>
      <c r="O18" s="390">
        <v>0</v>
      </c>
      <c r="P18" s="390"/>
      <c r="Q18" s="390">
        <v>0</v>
      </c>
      <c r="R18" s="389"/>
      <c r="S18" s="388">
        <f t="shared" si="0"/>
        <v>0</v>
      </c>
    </row>
    <row r="19" spans="1:19" x14ac:dyDescent="0.25">
      <c r="A19" s="392">
        <v>12</v>
      </c>
      <c r="B19" s="391" t="s">
        <v>395</v>
      </c>
      <c r="C19" s="390">
        <v>0</v>
      </c>
      <c r="D19" s="390"/>
      <c r="E19" s="390">
        <v>0</v>
      </c>
      <c r="F19" s="390"/>
      <c r="G19" s="390">
        <v>0</v>
      </c>
      <c r="H19" s="390"/>
      <c r="I19" s="390">
        <v>0</v>
      </c>
      <c r="J19" s="390"/>
      <c r="K19" s="390">
        <v>0</v>
      </c>
      <c r="L19" s="390"/>
      <c r="M19" s="390">
        <v>0</v>
      </c>
      <c r="N19" s="390"/>
      <c r="O19" s="390">
        <v>0</v>
      </c>
      <c r="P19" s="390"/>
      <c r="Q19" s="390">
        <v>0</v>
      </c>
      <c r="R19" s="389"/>
      <c r="S19" s="388">
        <f t="shared" si="0"/>
        <v>0</v>
      </c>
    </row>
    <row r="20" spans="1:19" x14ac:dyDescent="0.25">
      <c r="A20" s="392">
        <v>13</v>
      </c>
      <c r="B20" s="391" t="s">
        <v>394</v>
      </c>
      <c r="C20" s="390">
        <v>0</v>
      </c>
      <c r="D20" s="390"/>
      <c r="E20" s="390">
        <v>0</v>
      </c>
      <c r="F20" s="390"/>
      <c r="G20" s="390">
        <v>0</v>
      </c>
      <c r="H20" s="390"/>
      <c r="I20" s="390">
        <v>0</v>
      </c>
      <c r="J20" s="390"/>
      <c r="K20" s="390">
        <v>0</v>
      </c>
      <c r="L20" s="390"/>
      <c r="M20" s="390">
        <v>0</v>
      </c>
      <c r="N20" s="390"/>
      <c r="O20" s="390">
        <v>0</v>
      </c>
      <c r="P20" s="390"/>
      <c r="Q20" s="390">
        <v>0</v>
      </c>
      <c r="R20" s="389"/>
      <c r="S20" s="388">
        <f t="shared" si="0"/>
        <v>0</v>
      </c>
    </row>
    <row r="21" spans="1:19" x14ac:dyDescent="0.25">
      <c r="A21" s="392">
        <v>14</v>
      </c>
      <c r="B21" s="391" t="s">
        <v>393</v>
      </c>
      <c r="C21" s="390">
        <v>4551377.1499999994</v>
      </c>
      <c r="D21" s="390"/>
      <c r="E21" s="390">
        <v>313384.85000000056</v>
      </c>
      <c r="F21" s="390"/>
      <c r="G21" s="390">
        <v>0</v>
      </c>
      <c r="H21" s="390"/>
      <c r="I21" s="390">
        <v>0</v>
      </c>
      <c r="J21" s="390"/>
      <c r="K21" s="390">
        <v>0</v>
      </c>
      <c r="L21" s="390"/>
      <c r="M21" s="390">
        <v>35023568.598855168</v>
      </c>
      <c r="N21" s="390"/>
      <c r="O21" s="390">
        <v>0</v>
      </c>
      <c r="P21" s="390"/>
      <c r="Q21" s="390">
        <v>0</v>
      </c>
      <c r="R21" s="389"/>
      <c r="S21" s="388">
        <f t="shared" si="0"/>
        <v>35086245.568855166</v>
      </c>
    </row>
    <row r="22" spans="1:19" ht="14.25" thickBot="1" x14ac:dyDescent="0.3">
      <c r="A22" s="387"/>
      <c r="B22" s="386" t="s">
        <v>157</v>
      </c>
      <c r="C22" s="385">
        <f t="shared" ref="C22:S22" si="1">SUM(C8:C21)</f>
        <v>30314358.939048741</v>
      </c>
      <c r="D22" s="385">
        <f t="shared" si="1"/>
        <v>0</v>
      </c>
      <c r="E22" s="385">
        <f t="shared" si="1"/>
        <v>31246451.721024919</v>
      </c>
      <c r="F22" s="385">
        <f t="shared" si="1"/>
        <v>0</v>
      </c>
      <c r="G22" s="385">
        <f t="shared" si="1"/>
        <v>0</v>
      </c>
      <c r="H22" s="385">
        <f t="shared" si="1"/>
        <v>0</v>
      </c>
      <c r="I22" s="385">
        <f t="shared" si="1"/>
        <v>0</v>
      </c>
      <c r="J22" s="385">
        <f t="shared" si="1"/>
        <v>0</v>
      </c>
      <c r="K22" s="385">
        <f t="shared" si="1"/>
        <v>17139347.190000001</v>
      </c>
      <c r="L22" s="385">
        <f t="shared" si="1"/>
        <v>0</v>
      </c>
      <c r="M22" s="385">
        <f t="shared" si="1"/>
        <v>135227037.04885519</v>
      </c>
      <c r="N22" s="385">
        <f t="shared" si="1"/>
        <v>4714329</v>
      </c>
      <c r="O22" s="385">
        <f t="shared" si="1"/>
        <v>0</v>
      </c>
      <c r="P22" s="385">
        <f t="shared" si="1"/>
        <v>0</v>
      </c>
      <c r="Q22" s="385">
        <f t="shared" si="1"/>
        <v>0</v>
      </c>
      <c r="R22" s="385">
        <f t="shared" si="1"/>
        <v>0</v>
      </c>
      <c r="S22" s="384">
        <f t="shared" si="1"/>
        <v>159045166.78556013</v>
      </c>
    </row>
    <row r="24" spans="1:19" x14ac:dyDescent="0.25">
      <c r="R24" s="282"/>
      <c r="S24" s="712"/>
    </row>
    <row r="25" spans="1:19" x14ac:dyDescent="0.25">
      <c r="R25" s="712"/>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34F03-9296-41A5-82F0-29F623FB816F}">
  <dimension ref="A1:V28"/>
  <sheetViews>
    <sheetView zoomScale="90" zoomScaleNormal="90" workbookViewId="0">
      <pane xSplit="2" ySplit="6" topLeftCell="R7" activePane="bottomRight" state="frozen"/>
      <selection activeCell="B39" sqref="B39"/>
      <selection pane="topRight" activeCell="B39" sqref="B39"/>
      <selection pane="bottomLeft" activeCell="B39" sqref="B39"/>
      <selection pane="bottomRight" activeCell="B39" sqref="B39"/>
    </sheetView>
  </sheetViews>
  <sheetFormatPr defaultColWidth="9.140625" defaultRowHeight="13.5" x14ac:dyDescent="0.25"/>
  <cols>
    <col min="1" max="1" width="10.5703125" style="1" bestFit="1" customWidth="1"/>
    <col min="2" max="2" width="74.5703125" style="1" customWidth="1"/>
    <col min="3" max="3" width="19" style="1" customWidth="1"/>
    <col min="4" max="4" width="19.5703125" style="1" customWidth="1"/>
    <col min="5" max="5" width="31.140625" style="1" customWidth="1"/>
    <col min="6" max="6" width="29.140625" style="1" customWidth="1"/>
    <col min="7" max="7" width="62.140625" style="1" customWidth="1"/>
    <col min="8" max="8" width="26.42578125" style="1" customWidth="1"/>
    <col min="9" max="9" width="23.7109375" style="1" customWidth="1"/>
    <col min="10" max="10" width="21.5703125" style="1" customWidth="1"/>
    <col min="11" max="11" width="15.7109375" style="1" customWidth="1"/>
    <col min="12" max="12" width="13.28515625" style="1" customWidth="1"/>
    <col min="13" max="13" width="20.85546875" style="1" customWidth="1"/>
    <col min="14" max="14" width="19.28515625" style="1" customWidth="1"/>
    <col min="15" max="15" width="18.42578125" style="1" customWidth="1"/>
    <col min="16" max="16" width="19" style="1" customWidth="1"/>
    <col min="17" max="17" width="20.28515625" style="1" customWidth="1"/>
    <col min="18" max="18" width="18" style="1" customWidth="1"/>
    <col min="19" max="19" width="36" style="1" customWidth="1"/>
    <col min="20" max="20" width="19.42578125" style="1" customWidth="1"/>
    <col min="21" max="21" width="19.140625" style="1" customWidth="1"/>
    <col min="22" max="22" width="20" style="1" customWidth="1"/>
    <col min="23" max="16384" width="9.140625" style="194"/>
  </cols>
  <sheetData>
    <row r="1" spans="1:22" x14ac:dyDescent="0.25">
      <c r="A1" s="1" t="s">
        <v>94</v>
      </c>
      <c r="B1" s="1" t="str">
        <f>Info!C2</f>
        <v>სს სილქ ბანკი</v>
      </c>
    </row>
    <row r="2" spans="1:22" x14ac:dyDescent="0.25">
      <c r="A2" s="1" t="s">
        <v>93</v>
      </c>
      <c r="B2" s="114">
        <f>'1. key ratios'!B2</f>
        <v>45565</v>
      </c>
    </row>
    <row r="4" spans="1:22" ht="40.5" customHeight="1" thickBot="1" x14ac:dyDescent="0.35">
      <c r="A4" s="1" t="s">
        <v>450</v>
      </c>
      <c r="B4" s="401" t="s">
        <v>449</v>
      </c>
      <c r="V4" s="381" t="s">
        <v>251</v>
      </c>
    </row>
    <row r="5" spans="1:22" x14ac:dyDescent="0.25">
      <c r="A5" s="421"/>
      <c r="B5" s="420"/>
      <c r="C5" s="816" t="s">
        <v>448</v>
      </c>
      <c r="D5" s="817"/>
      <c r="E5" s="817"/>
      <c r="F5" s="817"/>
      <c r="G5" s="817"/>
      <c r="H5" s="817"/>
      <c r="I5" s="817"/>
      <c r="J5" s="817"/>
      <c r="K5" s="817"/>
      <c r="L5" s="818"/>
      <c r="M5" s="816" t="s">
        <v>447</v>
      </c>
      <c r="N5" s="817"/>
      <c r="O5" s="817"/>
      <c r="P5" s="817"/>
      <c r="Q5" s="817"/>
      <c r="R5" s="817"/>
      <c r="S5" s="818"/>
      <c r="T5" s="821" t="s">
        <v>446</v>
      </c>
      <c r="U5" s="821" t="s">
        <v>445</v>
      </c>
      <c r="V5" s="819" t="s">
        <v>444</v>
      </c>
    </row>
    <row r="6" spans="1:22" s="263" customFormat="1" ht="148.5" x14ac:dyDescent="0.25">
      <c r="A6" s="274"/>
      <c r="B6" s="419"/>
      <c r="C6" s="417" t="s">
        <v>443</v>
      </c>
      <c r="D6" s="416" t="s">
        <v>442</v>
      </c>
      <c r="E6" s="418" t="s">
        <v>441</v>
      </c>
      <c r="F6" s="418" t="s">
        <v>440</v>
      </c>
      <c r="G6" s="416" t="s">
        <v>439</v>
      </c>
      <c r="H6" s="416" t="s">
        <v>438</v>
      </c>
      <c r="I6" s="416" t="s">
        <v>437</v>
      </c>
      <c r="J6" s="416" t="s">
        <v>436</v>
      </c>
      <c r="K6" s="416" t="s">
        <v>435</v>
      </c>
      <c r="L6" s="415" t="s">
        <v>434</v>
      </c>
      <c r="M6" s="417" t="s">
        <v>433</v>
      </c>
      <c r="N6" s="416" t="s">
        <v>432</v>
      </c>
      <c r="O6" s="416" t="s">
        <v>431</v>
      </c>
      <c r="P6" s="416" t="s">
        <v>430</v>
      </c>
      <c r="Q6" s="416" t="s">
        <v>429</v>
      </c>
      <c r="R6" s="416" t="s">
        <v>428</v>
      </c>
      <c r="S6" s="415" t="s">
        <v>427</v>
      </c>
      <c r="T6" s="822"/>
      <c r="U6" s="822"/>
      <c r="V6" s="820"/>
    </row>
    <row r="7" spans="1:22" x14ac:dyDescent="0.25">
      <c r="A7" s="413">
        <v>1</v>
      </c>
      <c r="B7" s="412" t="s">
        <v>406</v>
      </c>
      <c r="C7" s="411">
        <v>0</v>
      </c>
      <c r="D7" s="390">
        <v>0</v>
      </c>
      <c r="E7" s="390">
        <v>0</v>
      </c>
      <c r="F7" s="390">
        <v>0</v>
      </c>
      <c r="G7" s="390">
        <v>0</v>
      </c>
      <c r="H7" s="390">
        <v>0</v>
      </c>
      <c r="I7" s="390">
        <v>0</v>
      </c>
      <c r="J7" s="390">
        <v>0</v>
      </c>
      <c r="K7" s="390">
        <v>0</v>
      </c>
      <c r="L7" s="410">
        <v>0</v>
      </c>
      <c r="M7" s="411">
        <v>0</v>
      </c>
      <c r="N7" s="390">
        <v>0</v>
      </c>
      <c r="O7" s="390">
        <v>0</v>
      </c>
      <c r="P7" s="390">
        <v>0</v>
      </c>
      <c r="Q7" s="390">
        <v>0</v>
      </c>
      <c r="R7" s="390">
        <v>0</v>
      </c>
      <c r="S7" s="410">
        <v>0</v>
      </c>
      <c r="T7" s="414">
        <v>0</v>
      </c>
      <c r="U7" s="409">
        <v>0</v>
      </c>
      <c r="V7" s="408">
        <f>SUM(C7:U7)</f>
        <v>0</v>
      </c>
    </row>
    <row r="8" spans="1:22" x14ac:dyDescent="0.25">
      <c r="A8" s="413">
        <v>2</v>
      </c>
      <c r="B8" s="412" t="s">
        <v>405</v>
      </c>
      <c r="C8" s="411">
        <v>0</v>
      </c>
      <c r="D8" s="390">
        <v>0</v>
      </c>
      <c r="E8" s="390">
        <v>0</v>
      </c>
      <c r="F8" s="390">
        <v>0</v>
      </c>
      <c r="G8" s="390">
        <v>0</v>
      </c>
      <c r="H8" s="390">
        <v>0</v>
      </c>
      <c r="I8" s="390">
        <v>0</v>
      </c>
      <c r="J8" s="390">
        <v>0</v>
      </c>
      <c r="K8" s="390">
        <v>0</v>
      </c>
      <c r="L8" s="410">
        <v>0</v>
      </c>
      <c r="M8" s="411">
        <v>0</v>
      </c>
      <c r="N8" s="390">
        <v>0</v>
      </c>
      <c r="O8" s="390">
        <v>0</v>
      </c>
      <c r="P8" s="390">
        <v>0</v>
      </c>
      <c r="Q8" s="390">
        <v>0</v>
      </c>
      <c r="R8" s="390">
        <v>0</v>
      </c>
      <c r="S8" s="410">
        <v>0</v>
      </c>
      <c r="T8" s="409">
        <v>0</v>
      </c>
      <c r="U8" s="409">
        <v>0</v>
      </c>
      <c r="V8" s="408">
        <f>SUM(C8:S8)</f>
        <v>0</v>
      </c>
    </row>
    <row r="9" spans="1:22" x14ac:dyDescent="0.25">
      <c r="A9" s="413">
        <v>3</v>
      </c>
      <c r="B9" s="412" t="s">
        <v>404</v>
      </c>
      <c r="C9" s="411">
        <v>0</v>
      </c>
      <c r="D9" s="390">
        <v>0</v>
      </c>
      <c r="E9" s="390">
        <v>0</v>
      </c>
      <c r="F9" s="390">
        <v>0</v>
      </c>
      <c r="G9" s="390">
        <v>0</v>
      </c>
      <c r="H9" s="390">
        <v>0</v>
      </c>
      <c r="I9" s="390">
        <v>0</v>
      </c>
      <c r="J9" s="390">
        <v>0</v>
      </c>
      <c r="K9" s="390">
        <v>0</v>
      </c>
      <c r="L9" s="410">
        <v>0</v>
      </c>
      <c r="M9" s="411">
        <v>0</v>
      </c>
      <c r="N9" s="390">
        <v>0</v>
      </c>
      <c r="O9" s="390">
        <v>0</v>
      </c>
      <c r="P9" s="390">
        <v>0</v>
      </c>
      <c r="Q9" s="390">
        <v>0</v>
      </c>
      <c r="R9" s="390">
        <v>0</v>
      </c>
      <c r="S9" s="410">
        <v>0</v>
      </c>
      <c r="T9" s="409">
        <v>0</v>
      </c>
      <c r="U9" s="409">
        <v>0</v>
      </c>
      <c r="V9" s="408">
        <f t="shared" ref="V9:V20" si="0">SUM(C9:U9)</f>
        <v>0</v>
      </c>
    </row>
    <row r="10" spans="1:22" x14ac:dyDescent="0.25">
      <c r="A10" s="413">
        <v>4</v>
      </c>
      <c r="B10" s="412" t="s">
        <v>403</v>
      </c>
      <c r="C10" s="411">
        <v>0</v>
      </c>
      <c r="D10" s="390">
        <v>0</v>
      </c>
      <c r="E10" s="390">
        <v>0</v>
      </c>
      <c r="F10" s="390">
        <v>0</v>
      </c>
      <c r="G10" s="390">
        <v>0</v>
      </c>
      <c r="H10" s="390">
        <v>0</v>
      </c>
      <c r="I10" s="390">
        <v>0</v>
      </c>
      <c r="J10" s="390">
        <v>0</v>
      </c>
      <c r="K10" s="390">
        <v>0</v>
      </c>
      <c r="L10" s="410">
        <v>0</v>
      </c>
      <c r="M10" s="411">
        <v>0</v>
      </c>
      <c r="N10" s="390">
        <v>0</v>
      </c>
      <c r="O10" s="390">
        <v>0</v>
      </c>
      <c r="P10" s="390">
        <v>0</v>
      </c>
      <c r="Q10" s="390">
        <v>0</v>
      </c>
      <c r="R10" s="390">
        <v>0</v>
      </c>
      <c r="S10" s="410">
        <v>0</v>
      </c>
      <c r="T10" s="409">
        <v>0</v>
      </c>
      <c r="U10" s="409">
        <v>0</v>
      </c>
      <c r="V10" s="408">
        <f t="shared" si="0"/>
        <v>0</v>
      </c>
    </row>
    <row r="11" spans="1:22" x14ac:dyDescent="0.25">
      <c r="A11" s="413">
        <v>5</v>
      </c>
      <c r="B11" s="412" t="s">
        <v>402</v>
      </c>
      <c r="C11" s="411">
        <v>0</v>
      </c>
      <c r="D11" s="390">
        <v>0</v>
      </c>
      <c r="E11" s="390">
        <v>0</v>
      </c>
      <c r="F11" s="390">
        <v>0</v>
      </c>
      <c r="G11" s="390">
        <v>0</v>
      </c>
      <c r="H11" s="390">
        <v>0</v>
      </c>
      <c r="I11" s="390">
        <v>0</v>
      </c>
      <c r="J11" s="390">
        <v>0</v>
      </c>
      <c r="K11" s="390">
        <v>0</v>
      </c>
      <c r="L11" s="410">
        <v>0</v>
      </c>
      <c r="M11" s="411">
        <v>0</v>
      </c>
      <c r="N11" s="390">
        <v>0</v>
      </c>
      <c r="O11" s="390">
        <v>0</v>
      </c>
      <c r="P11" s="390">
        <v>0</v>
      </c>
      <c r="Q11" s="390">
        <v>0</v>
      </c>
      <c r="R11" s="390">
        <v>0</v>
      </c>
      <c r="S11" s="410">
        <v>0</v>
      </c>
      <c r="T11" s="409">
        <v>0</v>
      </c>
      <c r="U11" s="409">
        <v>0</v>
      </c>
      <c r="V11" s="408">
        <f t="shared" si="0"/>
        <v>0</v>
      </c>
    </row>
    <row r="12" spans="1:22" x14ac:dyDescent="0.25">
      <c r="A12" s="413">
        <v>6</v>
      </c>
      <c r="B12" s="412" t="s">
        <v>401</v>
      </c>
      <c r="C12" s="411">
        <v>0</v>
      </c>
      <c r="D12" s="390">
        <v>0</v>
      </c>
      <c r="E12" s="390">
        <v>0</v>
      </c>
      <c r="F12" s="390">
        <v>0</v>
      </c>
      <c r="G12" s="390">
        <v>0</v>
      </c>
      <c r="H12" s="390">
        <v>0</v>
      </c>
      <c r="I12" s="390">
        <v>0</v>
      </c>
      <c r="J12" s="390">
        <v>0</v>
      </c>
      <c r="K12" s="390">
        <v>0</v>
      </c>
      <c r="L12" s="410">
        <v>0</v>
      </c>
      <c r="M12" s="411">
        <v>0</v>
      </c>
      <c r="N12" s="390">
        <v>0</v>
      </c>
      <c r="O12" s="390">
        <v>0</v>
      </c>
      <c r="P12" s="390">
        <v>0</v>
      </c>
      <c r="Q12" s="390">
        <v>0</v>
      </c>
      <c r="R12" s="390">
        <v>0</v>
      </c>
      <c r="S12" s="410">
        <v>0</v>
      </c>
      <c r="T12" s="409">
        <v>0</v>
      </c>
      <c r="U12" s="409">
        <v>0</v>
      </c>
      <c r="V12" s="408">
        <f t="shared" si="0"/>
        <v>0</v>
      </c>
    </row>
    <row r="13" spans="1:22" x14ac:dyDescent="0.25">
      <c r="A13" s="413">
        <v>7</v>
      </c>
      <c r="B13" s="412" t="s">
        <v>400</v>
      </c>
      <c r="C13" s="411">
        <v>0</v>
      </c>
      <c r="D13" s="390">
        <v>0</v>
      </c>
      <c r="E13" s="390">
        <v>0</v>
      </c>
      <c r="F13" s="390">
        <v>0</v>
      </c>
      <c r="G13" s="390">
        <v>0</v>
      </c>
      <c r="H13" s="390">
        <v>0</v>
      </c>
      <c r="I13" s="390">
        <v>0</v>
      </c>
      <c r="J13" s="390">
        <v>0</v>
      </c>
      <c r="K13" s="390">
        <v>0</v>
      </c>
      <c r="L13" s="410">
        <v>0</v>
      </c>
      <c r="M13" s="411">
        <v>0</v>
      </c>
      <c r="N13" s="390">
        <v>0</v>
      </c>
      <c r="O13" s="390">
        <v>0</v>
      </c>
      <c r="P13" s="390">
        <v>0</v>
      </c>
      <c r="Q13" s="390">
        <v>0</v>
      </c>
      <c r="R13" s="390">
        <v>0</v>
      </c>
      <c r="S13" s="410">
        <v>0</v>
      </c>
      <c r="T13" s="409">
        <v>0</v>
      </c>
      <c r="U13" s="409">
        <v>0</v>
      </c>
      <c r="V13" s="408">
        <f t="shared" si="0"/>
        <v>0</v>
      </c>
    </row>
    <row r="14" spans="1:22" x14ac:dyDescent="0.25">
      <c r="A14" s="413">
        <v>8</v>
      </c>
      <c r="B14" s="412" t="s">
        <v>399</v>
      </c>
      <c r="C14" s="411">
        <v>0</v>
      </c>
      <c r="D14" s="390">
        <v>0</v>
      </c>
      <c r="E14" s="390">
        <v>0</v>
      </c>
      <c r="F14" s="390">
        <v>0</v>
      </c>
      <c r="G14" s="390">
        <v>0</v>
      </c>
      <c r="H14" s="390">
        <v>0</v>
      </c>
      <c r="I14" s="390">
        <v>0</v>
      </c>
      <c r="J14" s="390">
        <v>0</v>
      </c>
      <c r="K14" s="390">
        <v>0</v>
      </c>
      <c r="L14" s="410">
        <v>0</v>
      </c>
      <c r="M14" s="411">
        <v>0</v>
      </c>
      <c r="N14" s="390">
        <v>0</v>
      </c>
      <c r="O14" s="390">
        <v>0</v>
      </c>
      <c r="P14" s="390">
        <v>0</v>
      </c>
      <c r="Q14" s="390">
        <v>0</v>
      </c>
      <c r="R14" s="390">
        <v>0</v>
      </c>
      <c r="S14" s="410">
        <v>0</v>
      </c>
      <c r="T14" s="409">
        <v>0</v>
      </c>
      <c r="U14" s="409">
        <v>0</v>
      </c>
      <c r="V14" s="408">
        <f t="shared" si="0"/>
        <v>0</v>
      </c>
    </row>
    <row r="15" spans="1:22" x14ac:dyDescent="0.25">
      <c r="A15" s="413">
        <v>9</v>
      </c>
      <c r="B15" s="412" t="s">
        <v>398</v>
      </c>
      <c r="C15" s="411">
        <v>0</v>
      </c>
      <c r="D15" s="390">
        <v>0</v>
      </c>
      <c r="E15" s="390">
        <v>0</v>
      </c>
      <c r="F15" s="390">
        <v>0</v>
      </c>
      <c r="G15" s="390">
        <v>0</v>
      </c>
      <c r="H15" s="390">
        <v>0</v>
      </c>
      <c r="I15" s="390">
        <v>0</v>
      </c>
      <c r="J15" s="390">
        <v>0</v>
      </c>
      <c r="K15" s="390">
        <v>0</v>
      </c>
      <c r="L15" s="410">
        <v>0</v>
      </c>
      <c r="M15" s="411">
        <v>0</v>
      </c>
      <c r="N15" s="390">
        <v>0</v>
      </c>
      <c r="O15" s="390">
        <v>0</v>
      </c>
      <c r="P15" s="390">
        <v>0</v>
      </c>
      <c r="Q15" s="390">
        <v>0</v>
      </c>
      <c r="R15" s="390">
        <v>0</v>
      </c>
      <c r="S15" s="410">
        <v>0</v>
      </c>
      <c r="T15" s="409">
        <v>0</v>
      </c>
      <c r="U15" s="409">
        <v>0</v>
      </c>
      <c r="V15" s="408">
        <f t="shared" si="0"/>
        <v>0</v>
      </c>
    </row>
    <row r="16" spans="1:22" x14ac:dyDescent="0.25">
      <c r="A16" s="413">
        <v>10</v>
      </c>
      <c r="B16" s="412" t="s">
        <v>397</v>
      </c>
      <c r="C16" s="411">
        <v>0</v>
      </c>
      <c r="D16" s="390">
        <v>0</v>
      </c>
      <c r="E16" s="390">
        <v>0</v>
      </c>
      <c r="F16" s="390">
        <v>0</v>
      </c>
      <c r="G16" s="390">
        <v>0</v>
      </c>
      <c r="H16" s="390">
        <v>0</v>
      </c>
      <c r="I16" s="390">
        <v>0</v>
      </c>
      <c r="J16" s="390">
        <v>0</v>
      </c>
      <c r="K16" s="390">
        <v>0</v>
      </c>
      <c r="L16" s="410">
        <v>0</v>
      </c>
      <c r="M16" s="411">
        <v>0</v>
      </c>
      <c r="N16" s="390">
        <v>0</v>
      </c>
      <c r="O16" s="390">
        <v>0</v>
      </c>
      <c r="P16" s="390">
        <v>0</v>
      </c>
      <c r="Q16" s="390">
        <v>0</v>
      </c>
      <c r="R16" s="390">
        <v>0</v>
      </c>
      <c r="S16" s="410">
        <v>0</v>
      </c>
      <c r="T16" s="409">
        <v>0</v>
      </c>
      <c r="U16" s="409">
        <v>0</v>
      </c>
      <c r="V16" s="408">
        <f t="shared" si="0"/>
        <v>0</v>
      </c>
    </row>
    <row r="17" spans="1:22" x14ac:dyDescent="0.25">
      <c r="A17" s="413">
        <v>11</v>
      </c>
      <c r="B17" s="412" t="s">
        <v>396</v>
      </c>
      <c r="C17" s="411">
        <v>0</v>
      </c>
      <c r="D17" s="390">
        <v>0</v>
      </c>
      <c r="E17" s="390">
        <v>0</v>
      </c>
      <c r="F17" s="390">
        <v>0</v>
      </c>
      <c r="G17" s="390">
        <v>0</v>
      </c>
      <c r="H17" s="390">
        <v>0</v>
      </c>
      <c r="I17" s="390">
        <v>0</v>
      </c>
      <c r="J17" s="390">
        <v>0</v>
      </c>
      <c r="K17" s="390">
        <v>0</v>
      </c>
      <c r="L17" s="410">
        <v>0</v>
      </c>
      <c r="M17" s="411">
        <v>0</v>
      </c>
      <c r="N17" s="390">
        <v>0</v>
      </c>
      <c r="O17" s="390">
        <v>0</v>
      </c>
      <c r="P17" s="390">
        <v>0</v>
      </c>
      <c r="Q17" s="390">
        <v>0</v>
      </c>
      <c r="R17" s="390">
        <v>0</v>
      </c>
      <c r="S17" s="410">
        <v>0</v>
      </c>
      <c r="T17" s="409">
        <v>0</v>
      </c>
      <c r="U17" s="409">
        <v>0</v>
      </c>
      <c r="V17" s="408">
        <f t="shared" si="0"/>
        <v>0</v>
      </c>
    </row>
    <row r="18" spans="1:22" x14ac:dyDescent="0.25">
      <c r="A18" s="413">
        <v>12</v>
      </c>
      <c r="B18" s="412" t="s">
        <v>395</v>
      </c>
      <c r="C18" s="411">
        <v>0</v>
      </c>
      <c r="D18" s="390">
        <v>0</v>
      </c>
      <c r="E18" s="390">
        <v>0</v>
      </c>
      <c r="F18" s="390">
        <v>0</v>
      </c>
      <c r="G18" s="390">
        <v>0</v>
      </c>
      <c r="H18" s="390">
        <v>0</v>
      </c>
      <c r="I18" s="390">
        <v>0</v>
      </c>
      <c r="J18" s="390">
        <v>0</v>
      </c>
      <c r="K18" s="390">
        <v>0</v>
      </c>
      <c r="L18" s="410">
        <v>0</v>
      </c>
      <c r="M18" s="411">
        <v>0</v>
      </c>
      <c r="N18" s="390">
        <v>0</v>
      </c>
      <c r="O18" s="390">
        <v>0</v>
      </c>
      <c r="P18" s="390">
        <v>0</v>
      </c>
      <c r="Q18" s="390">
        <v>0</v>
      </c>
      <c r="R18" s="390">
        <v>0</v>
      </c>
      <c r="S18" s="410">
        <v>0</v>
      </c>
      <c r="T18" s="409">
        <v>0</v>
      </c>
      <c r="U18" s="409">
        <v>0</v>
      </c>
      <c r="V18" s="408">
        <f t="shared" si="0"/>
        <v>0</v>
      </c>
    </row>
    <row r="19" spans="1:22" x14ac:dyDescent="0.25">
      <c r="A19" s="413">
        <v>13</v>
      </c>
      <c r="B19" s="412" t="s">
        <v>394</v>
      </c>
      <c r="C19" s="411">
        <v>0</v>
      </c>
      <c r="D19" s="390">
        <v>0</v>
      </c>
      <c r="E19" s="390">
        <v>0</v>
      </c>
      <c r="F19" s="390">
        <v>0</v>
      </c>
      <c r="G19" s="390">
        <v>0</v>
      </c>
      <c r="H19" s="390">
        <v>0</v>
      </c>
      <c r="I19" s="390">
        <v>0</v>
      </c>
      <c r="J19" s="390">
        <v>0</v>
      </c>
      <c r="K19" s="390">
        <v>0</v>
      </c>
      <c r="L19" s="410">
        <v>0</v>
      </c>
      <c r="M19" s="411">
        <v>0</v>
      </c>
      <c r="N19" s="390">
        <v>0</v>
      </c>
      <c r="O19" s="390">
        <v>0</v>
      </c>
      <c r="P19" s="390">
        <v>0</v>
      </c>
      <c r="Q19" s="390">
        <v>0</v>
      </c>
      <c r="R19" s="390">
        <v>0</v>
      </c>
      <c r="S19" s="410">
        <v>0</v>
      </c>
      <c r="T19" s="409">
        <v>0</v>
      </c>
      <c r="U19" s="409">
        <v>0</v>
      </c>
      <c r="V19" s="408">
        <f t="shared" si="0"/>
        <v>0</v>
      </c>
    </row>
    <row r="20" spans="1:22" x14ac:dyDescent="0.25">
      <c r="A20" s="413">
        <v>14</v>
      </c>
      <c r="B20" s="412" t="s">
        <v>393</v>
      </c>
      <c r="C20" s="411">
        <v>0</v>
      </c>
      <c r="D20" s="390">
        <v>0</v>
      </c>
      <c r="E20" s="390">
        <v>0</v>
      </c>
      <c r="F20" s="390">
        <v>0</v>
      </c>
      <c r="G20" s="390">
        <v>0</v>
      </c>
      <c r="H20" s="390">
        <v>0</v>
      </c>
      <c r="I20" s="390">
        <v>0</v>
      </c>
      <c r="J20" s="390">
        <v>0</v>
      </c>
      <c r="K20" s="390">
        <v>0</v>
      </c>
      <c r="L20" s="410">
        <v>0</v>
      </c>
      <c r="M20" s="411">
        <v>0</v>
      </c>
      <c r="N20" s="390">
        <v>0</v>
      </c>
      <c r="O20" s="390">
        <v>0</v>
      </c>
      <c r="P20" s="390">
        <v>0</v>
      </c>
      <c r="Q20" s="390">
        <v>0</v>
      </c>
      <c r="R20" s="390">
        <v>0</v>
      </c>
      <c r="S20" s="410">
        <v>0</v>
      </c>
      <c r="T20" s="409">
        <v>0</v>
      </c>
      <c r="U20" s="409">
        <v>0</v>
      </c>
      <c r="V20" s="408">
        <f t="shared" si="0"/>
        <v>0</v>
      </c>
    </row>
    <row r="21" spans="1:22" ht="14.25" thickBot="1" x14ac:dyDescent="0.3">
      <c r="A21" s="387"/>
      <c r="B21" s="407" t="s">
        <v>157</v>
      </c>
      <c r="C21" s="406">
        <f t="shared" ref="C21:V21" si="1">SUM(C7:C20)</f>
        <v>0</v>
      </c>
      <c r="D21" s="385">
        <f t="shared" si="1"/>
        <v>0</v>
      </c>
      <c r="E21" s="385">
        <f t="shared" si="1"/>
        <v>0</v>
      </c>
      <c r="F21" s="385">
        <f t="shared" si="1"/>
        <v>0</v>
      </c>
      <c r="G21" s="385">
        <f t="shared" si="1"/>
        <v>0</v>
      </c>
      <c r="H21" s="385">
        <f t="shared" si="1"/>
        <v>0</v>
      </c>
      <c r="I21" s="385">
        <f t="shared" si="1"/>
        <v>0</v>
      </c>
      <c r="J21" s="385">
        <f t="shared" si="1"/>
        <v>0</v>
      </c>
      <c r="K21" s="385">
        <f t="shared" si="1"/>
        <v>0</v>
      </c>
      <c r="L21" s="405">
        <f t="shared" si="1"/>
        <v>0</v>
      </c>
      <c r="M21" s="406">
        <f t="shared" si="1"/>
        <v>0</v>
      </c>
      <c r="N21" s="385">
        <f t="shared" si="1"/>
        <v>0</v>
      </c>
      <c r="O21" s="385">
        <f t="shared" si="1"/>
        <v>0</v>
      </c>
      <c r="P21" s="385">
        <f t="shared" si="1"/>
        <v>0</v>
      </c>
      <c r="Q21" s="385">
        <f t="shared" si="1"/>
        <v>0</v>
      </c>
      <c r="R21" s="385">
        <f t="shared" si="1"/>
        <v>0</v>
      </c>
      <c r="S21" s="405">
        <f t="shared" si="1"/>
        <v>0</v>
      </c>
      <c r="T21" s="405">
        <f t="shared" si="1"/>
        <v>0</v>
      </c>
      <c r="U21" s="405">
        <f t="shared" si="1"/>
        <v>0</v>
      </c>
      <c r="V21" s="404">
        <f t="shared" si="1"/>
        <v>0</v>
      </c>
    </row>
    <row r="22" spans="1:22" x14ac:dyDescent="0.25">
      <c r="B22" s="196"/>
    </row>
    <row r="24" spans="1:22" x14ac:dyDescent="0.25">
      <c r="C24" s="402"/>
      <c r="D24" s="402"/>
      <c r="E24" s="402"/>
    </row>
    <row r="25" spans="1:22" x14ac:dyDescent="0.25">
      <c r="A25" s="243"/>
      <c r="B25" s="243"/>
      <c r="D25" s="402"/>
      <c r="E25" s="402"/>
    </row>
    <row r="26" spans="1:22" x14ac:dyDescent="0.25">
      <c r="A26" s="243"/>
      <c r="B26" s="403"/>
      <c r="D26" s="402"/>
      <c r="E26" s="402"/>
    </row>
    <row r="27" spans="1:22" x14ac:dyDescent="0.25">
      <c r="A27" s="243"/>
      <c r="B27" s="243"/>
      <c r="D27" s="402"/>
      <c r="E27" s="402"/>
    </row>
    <row r="28" spans="1:22" x14ac:dyDescent="0.25">
      <c r="A28" s="243"/>
      <c r="B28" s="403"/>
      <c r="D28" s="402"/>
      <c r="E28" s="402"/>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B810-9E7D-4EA5-9C22-1630C32F4334}">
  <dimension ref="A1:I24"/>
  <sheetViews>
    <sheetView zoomScaleNormal="100" workbookViewId="0">
      <pane xSplit="1" ySplit="7" topLeftCell="E8" activePane="bottomRight" state="frozen"/>
      <selection activeCell="D51" sqref="D51"/>
      <selection pane="topRight" activeCell="D51" sqref="D51"/>
      <selection pane="bottomLeft" activeCell="D51" sqref="D51"/>
      <selection pane="bottomRight" activeCell="K15" sqref="K15"/>
    </sheetView>
  </sheetViews>
  <sheetFormatPr defaultColWidth="9.140625" defaultRowHeight="13.5" x14ac:dyDescent="0.25"/>
  <cols>
    <col min="1" max="1" width="10.5703125" style="1" bestFit="1" customWidth="1"/>
    <col min="2" max="2" width="101.85546875" style="1" customWidth="1"/>
    <col min="3" max="3" width="13.7109375" style="1" customWidth="1"/>
    <col min="4" max="4" width="14.85546875" style="1" bestFit="1" customWidth="1"/>
    <col min="5" max="5" width="17.7109375" style="1" customWidth="1"/>
    <col min="6" max="6" width="15.85546875" style="1" customWidth="1"/>
    <col min="7" max="7" width="22.85546875" style="1" customWidth="1"/>
    <col min="8" max="8" width="15.28515625" style="1" customWidth="1"/>
    <col min="9" max="16384" width="9.140625" style="194"/>
  </cols>
  <sheetData>
    <row r="1" spans="1:9" x14ac:dyDescent="0.25">
      <c r="A1" s="1" t="s">
        <v>94</v>
      </c>
      <c r="B1" s="1" t="str">
        <f>Info!C2</f>
        <v>სს სილქ ბანკი</v>
      </c>
    </row>
    <row r="2" spans="1:9" x14ac:dyDescent="0.25">
      <c r="A2" s="1" t="s">
        <v>93</v>
      </c>
      <c r="B2" s="114">
        <f>'1. key ratios'!B2</f>
        <v>45565</v>
      </c>
    </row>
    <row r="4" spans="1:9" ht="40.5" customHeight="1" thickBot="1" x14ac:dyDescent="0.3">
      <c r="A4" s="1" t="s">
        <v>459</v>
      </c>
      <c r="B4" s="312" t="s">
        <v>458</v>
      </c>
    </row>
    <row r="5" spans="1:9" x14ac:dyDescent="0.25">
      <c r="A5" s="421"/>
      <c r="B5" s="432"/>
      <c r="C5" s="431" t="s">
        <v>299</v>
      </c>
      <c r="D5" s="431" t="s">
        <v>298</v>
      </c>
      <c r="E5" s="431" t="s">
        <v>297</v>
      </c>
      <c r="F5" s="431" t="s">
        <v>424</v>
      </c>
      <c r="G5" s="430" t="s">
        <v>423</v>
      </c>
      <c r="H5" s="429" t="s">
        <v>422</v>
      </c>
      <c r="I5" s="427"/>
    </row>
    <row r="6" spans="1:9" ht="15" customHeight="1" x14ac:dyDescent="0.25">
      <c r="A6" s="395"/>
      <c r="B6" s="428"/>
      <c r="C6" s="814" t="s">
        <v>457</v>
      </c>
      <c r="D6" s="825" t="s">
        <v>456</v>
      </c>
      <c r="E6" s="826"/>
      <c r="F6" s="814" t="s">
        <v>455</v>
      </c>
      <c r="G6" s="814" t="s">
        <v>454</v>
      </c>
      <c r="H6" s="823" t="s">
        <v>453</v>
      </c>
      <c r="I6" s="427"/>
    </row>
    <row r="7" spans="1:9" ht="81" x14ac:dyDescent="0.25">
      <c r="A7" s="395"/>
      <c r="B7" s="428"/>
      <c r="C7" s="815"/>
      <c r="D7" s="252" t="s">
        <v>452</v>
      </c>
      <c r="E7" s="252" t="s">
        <v>451</v>
      </c>
      <c r="F7" s="815"/>
      <c r="G7" s="815"/>
      <c r="H7" s="824"/>
      <c r="I7" s="427"/>
    </row>
    <row r="8" spans="1:9" x14ac:dyDescent="0.25">
      <c r="A8" s="426">
        <v>1</v>
      </c>
      <c r="B8" s="289" t="s">
        <v>406</v>
      </c>
      <c r="C8" s="390">
        <v>29104466.79904874</v>
      </c>
      <c r="D8" s="390"/>
      <c r="E8" s="390"/>
      <c r="F8" s="390">
        <v>3341485.0099999988</v>
      </c>
      <c r="G8" s="389">
        <v>3341485.0099999988</v>
      </c>
      <c r="H8" s="425">
        <f t="shared" ref="H8:H22" si="0">G8/(C8+E8)</f>
        <v>0.11481004043369772</v>
      </c>
    </row>
    <row r="9" spans="1:9" ht="15" customHeight="1" x14ac:dyDescent="0.25">
      <c r="A9" s="426">
        <v>2</v>
      </c>
      <c r="B9" s="289" t="s">
        <v>405</v>
      </c>
      <c r="C9" s="390">
        <v>0</v>
      </c>
      <c r="D9" s="390"/>
      <c r="E9" s="390"/>
      <c r="F9" s="390">
        <v>0</v>
      </c>
      <c r="G9" s="389">
        <v>0</v>
      </c>
      <c r="H9" s="425" t="e">
        <f t="shared" si="0"/>
        <v>#DIV/0!</v>
      </c>
    </row>
    <row r="10" spans="1:9" x14ac:dyDescent="0.25">
      <c r="A10" s="426">
        <v>3</v>
      </c>
      <c r="B10" s="289" t="s">
        <v>404</v>
      </c>
      <c r="C10" s="390">
        <v>0</v>
      </c>
      <c r="D10" s="390"/>
      <c r="E10" s="390"/>
      <c r="F10" s="390">
        <v>0</v>
      </c>
      <c r="G10" s="389">
        <v>0</v>
      </c>
      <c r="H10" s="425" t="e">
        <f t="shared" si="0"/>
        <v>#DIV/0!</v>
      </c>
    </row>
    <row r="11" spans="1:9" x14ac:dyDescent="0.25">
      <c r="A11" s="426">
        <v>4</v>
      </c>
      <c r="B11" s="289" t="s">
        <v>403</v>
      </c>
      <c r="C11" s="390">
        <v>0</v>
      </c>
      <c r="D11" s="390"/>
      <c r="E11" s="390"/>
      <c r="F11" s="390">
        <v>0</v>
      </c>
      <c r="G11" s="389">
        <v>0</v>
      </c>
      <c r="H11" s="425" t="e">
        <f t="shared" si="0"/>
        <v>#DIV/0!</v>
      </c>
    </row>
    <row r="12" spans="1:9" x14ac:dyDescent="0.25">
      <c r="A12" s="426">
        <v>5</v>
      </c>
      <c r="B12" s="289" t="s">
        <v>402</v>
      </c>
      <c r="C12" s="390">
        <v>0</v>
      </c>
      <c r="D12" s="390"/>
      <c r="E12" s="390"/>
      <c r="F12" s="390">
        <v>0</v>
      </c>
      <c r="G12" s="389">
        <v>0</v>
      </c>
      <c r="H12" s="425" t="e">
        <f t="shared" si="0"/>
        <v>#DIV/0!</v>
      </c>
    </row>
    <row r="13" spans="1:9" x14ac:dyDescent="0.25">
      <c r="A13" s="426">
        <v>6</v>
      </c>
      <c r="B13" s="289" t="s">
        <v>401</v>
      </c>
      <c r="C13" s="390">
        <v>39276034.951024905</v>
      </c>
      <c r="D13" s="390"/>
      <c r="E13" s="390"/>
      <c r="F13" s="390">
        <v>14529581.454204971</v>
      </c>
      <c r="G13" s="389">
        <v>14529581.454204971</v>
      </c>
      <c r="H13" s="425">
        <f t="shared" si="0"/>
        <v>0.36993503728985305</v>
      </c>
    </row>
    <row r="14" spans="1:9" x14ac:dyDescent="0.25">
      <c r="A14" s="426">
        <v>7</v>
      </c>
      <c r="B14" s="289" t="s">
        <v>400</v>
      </c>
      <c r="C14" s="390">
        <v>81201080.980000004</v>
      </c>
      <c r="D14" s="390">
        <v>13406067.86039602</v>
      </c>
      <c r="E14" s="390">
        <v>4714329</v>
      </c>
      <c r="F14" s="390">
        <v>81201080.980000004</v>
      </c>
      <c r="G14" s="389">
        <v>81201080.980000004</v>
      </c>
      <c r="H14" s="425">
        <f t="shared" si="0"/>
        <v>0.94512824880778157</v>
      </c>
    </row>
    <row r="15" spans="1:9" x14ac:dyDescent="0.25">
      <c r="A15" s="426">
        <v>8</v>
      </c>
      <c r="B15" s="289" t="s">
        <v>399</v>
      </c>
      <c r="C15" s="390">
        <v>24236027.450000003</v>
      </c>
      <c r="D15" s="390"/>
      <c r="E15" s="390"/>
      <c r="F15" s="390">
        <v>19951190.652500004</v>
      </c>
      <c r="G15" s="389">
        <v>19951190.652500004</v>
      </c>
      <c r="H15" s="425">
        <f t="shared" si="0"/>
        <v>0.8232038313069332</v>
      </c>
    </row>
    <row r="16" spans="1:9" x14ac:dyDescent="0.25">
      <c r="A16" s="426">
        <v>9</v>
      </c>
      <c r="B16" s="289" t="s">
        <v>398</v>
      </c>
      <c r="C16" s="390">
        <v>0</v>
      </c>
      <c r="D16" s="390"/>
      <c r="E16" s="390"/>
      <c r="F16" s="390">
        <v>0</v>
      </c>
      <c r="G16" s="389">
        <v>0</v>
      </c>
      <c r="H16" s="425" t="e">
        <f t="shared" si="0"/>
        <v>#DIV/0!</v>
      </c>
    </row>
    <row r="17" spans="1:8" x14ac:dyDescent="0.25">
      <c r="A17" s="426">
        <v>10</v>
      </c>
      <c r="B17" s="289" t="s">
        <v>397</v>
      </c>
      <c r="C17" s="390">
        <v>221254.12</v>
      </c>
      <c r="D17" s="390"/>
      <c r="E17" s="390"/>
      <c r="F17" s="390">
        <v>221254.12</v>
      </c>
      <c r="G17" s="389">
        <v>221254.12</v>
      </c>
      <c r="H17" s="425">
        <f t="shared" si="0"/>
        <v>1</v>
      </c>
    </row>
    <row r="18" spans="1:8" x14ac:dyDescent="0.25">
      <c r="A18" s="426">
        <v>11</v>
      </c>
      <c r="B18" s="289" t="s">
        <v>396</v>
      </c>
      <c r="C18" s="390">
        <v>0</v>
      </c>
      <c r="D18" s="390"/>
      <c r="E18" s="390"/>
      <c r="F18" s="390">
        <v>0</v>
      </c>
      <c r="G18" s="389">
        <v>0</v>
      </c>
      <c r="H18" s="425" t="e">
        <f t="shared" si="0"/>
        <v>#DIV/0!</v>
      </c>
    </row>
    <row r="19" spans="1:8" x14ac:dyDescent="0.25">
      <c r="A19" s="426">
        <v>12</v>
      </c>
      <c r="B19" s="289" t="s">
        <v>395</v>
      </c>
      <c r="C19" s="390">
        <v>0</v>
      </c>
      <c r="D19" s="390"/>
      <c r="E19" s="390"/>
      <c r="F19" s="390">
        <v>0</v>
      </c>
      <c r="G19" s="389">
        <v>0</v>
      </c>
      <c r="H19" s="425" t="e">
        <f t="shared" si="0"/>
        <v>#DIV/0!</v>
      </c>
    </row>
    <row r="20" spans="1:8" x14ac:dyDescent="0.25">
      <c r="A20" s="426">
        <v>13</v>
      </c>
      <c r="B20" s="289" t="s">
        <v>394</v>
      </c>
      <c r="C20" s="390">
        <v>0</v>
      </c>
      <c r="D20" s="390"/>
      <c r="E20" s="390"/>
      <c r="F20" s="390">
        <v>0</v>
      </c>
      <c r="G20" s="389">
        <v>0</v>
      </c>
      <c r="H20" s="425" t="e">
        <f t="shared" si="0"/>
        <v>#DIV/0!</v>
      </c>
    </row>
    <row r="21" spans="1:8" x14ac:dyDescent="0.25">
      <c r="A21" s="426">
        <v>14</v>
      </c>
      <c r="B21" s="289" t="s">
        <v>393</v>
      </c>
      <c r="C21" s="390">
        <v>39888330.598855168</v>
      </c>
      <c r="D21" s="390"/>
      <c r="E21" s="390"/>
      <c r="F21" s="390">
        <v>35086245.568855166</v>
      </c>
      <c r="G21" s="389">
        <v>35086245.568855166</v>
      </c>
      <c r="H21" s="425">
        <f t="shared" si="0"/>
        <v>0.87961178224546144</v>
      </c>
    </row>
    <row r="22" spans="1:8" ht="14.25" thickBot="1" x14ac:dyDescent="0.3">
      <c r="A22" s="424"/>
      <c r="B22" s="423" t="s">
        <v>157</v>
      </c>
      <c r="C22" s="385">
        <f>SUM(C8:C21)</f>
        <v>213927194.89892879</v>
      </c>
      <c r="D22" s="385">
        <f>SUM(D8:D21)</f>
        <v>13406067.86039602</v>
      </c>
      <c r="E22" s="385">
        <f>SUM(E8:E21)</f>
        <v>4714329</v>
      </c>
      <c r="F22" s="385">
        <f>SUM(F8:F21)</f>
        <v>154330837.78556013</v>
      </c>
      <c r="G22" s="385">
        <f>SUM(G8:G21)</f>
        <v>154330837.78556013</v>
      </c>
      <c r="H22" s="422">
        <f t="shared" si="0"/>
        <v>0.70586243195461129</v>
      </c>
    </row>
    <row r="24" spans="1:8" ht="10.5" customHeight="1" x14ac:dyDescent="0.25"/>
  </sheetData>
  <mergeCells count="5">
    <mergeCell ref="C6:C7"/>
    <mergeCell ref="F6:F7"/>
    <mergeCell ref="G6:G7"/>
    <mergeCell ref="H6:H7"/>
    <mergeCell ref="D6:E6"/>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7096-00F0-4B32-9498-20DF347041F0}">
  <dimension ref="A1:K29"/>
  <sheetViews>
    <sheetView zoomScale="115" zoomScaleNormal="115" workbookViewId="0">
      <pane xSplit="2" ySplit="6" topLeftCell="I19" activePane="bottomRight" state="frozen"/>
      <selection activeCell="D51" sqref="D51"/>
      <selection pane="topRight" activeCell="D51" sqref="D51"/>
      <selection pane="bottomLeft" activeCell="D51" sqref="D51"/>
      <selection pane="bottomRight" activeCell="K28" sqref="K28"/>
    </sheetView>
  </sheetViews>
  <sheetFormatPr defaultColWidth="9.140625" defaultRowHeight="13.5" x14ac:dyDescent="0.25"/>
  <cols>
    <col min="1" max="1" width="10.5703125" style="1" bestFit="1" customWidth="1"/>
    <col min="2" max="2" width="70.28515625" style="1" customWidth="1"/>
    <col min="3" max="6" width="12.7109375" style="1" customWidth="1"/>
    <col min="7" max="7" width="15.42578125" style="1" customWidth="1"/>
    <col min="8" max="8" width="14.7109375" style="1" customWidth="1"/>
    <col min="9" max="9" width="15" style="1" customWidth="1"/>
    <col min="10" max="10" width="12.7109375" style="1" customWidth="1"/>
    <col min="11" max="11" width="15" style="1" customWidth="1"/>
    <col min="12" max="16384" width="9.140625" style="1"/>
  </cols>
  <sheetData>
    <row r="1" spans="1:11" x14ac:dyDescent="0.25">
      <c r="A1" s="1" t="s">
        <v>94</v>
      </c>
      <c r="B1" s="1" t="str">
        <f>Info!C2</f>
        <v>სს სილქ ბანკი</v>
      </c>
    </row>
    <row r="2" spans="1:11" x14ac:dyDescent="0.25">
      <c r="A2" s="1" t="s">
        <v>93</v>
      </c>
      <c r="B2" s="114">
        <f>'1. key ratios'!B2</f>
        <v>45565</v>
      </c>
    </row>
    <row r="3" spans="1:11" x14ac:dyDescent="0.25">
      <c r="B3" s="483"/>
    </row>
    <row r="4" spans="1:11" ht="40.5" customHeight="1" thickBot="1" x14ac:dyDescent="0.3">
      <c r="A4" s="1" t="s">
        <v>482</v>
      </c>
      <c r="B4" s="312" t="s">
        <v>13</v>
      </c>
    </row>
    <row r="5" spans="1:11" ht="30" customHeight="1" x14ac:dyDescent="0.25">
      <c r="A5" s="830"/>
      <c r="B5" s="831"/>
      <c r="C5" s="828" t="s">
        <v>481</v>
      </c>
      <c r="D5" s="828"/>
      <c r="E5" s="828"/>
      <c r="F5" s="828" t="s">
        <v>480</v>
      </c>
      <c r="G5" s="828"/>
      <c r="H5" s="828"/>
      <c r="I5" s="828" t="s">
        <v>479</v>
      </c>
      <c r="J5" s="828"/>
      <c r="K5" s="829"/>
    </row>
    <row r="6" spans="1:11" x14ac:dyDescent="0.25">
      <c r="A6" s="482"/>
      <c r="B6" s="481"/>
      <c r="C6" s="252" t="s">
        <v>159</v>
      </c>
      <c r="D6" s="252" t="s">
        <v>478</v>
      </c>
      <c r="E6" s="252" t="s">
        <v>157</v>
      </c>
      <c r="F6" s="252" t="s">
        <v>159</v>
      </c>
      <c r="G6" s="252" t="s">
        <v>478</v>
      </c>
      <c r="H6" s="252" t="s">
        <v>157</v>
      </c>
      <c r="I6" s="252" t="s">
        <v>159</v>
      </c>
      <c r="J6" s="252" t="s">
        <v>478</v>
      </c>
      <c r="K6" s="480" t="s">
        <v>157</v>
      </c>
    </row>
    <row r="7" spans="1:11" x14ac:dyDescent="0.25">
      <c r="A7" s="472" t="s">
        <v>462</v>
      </c>
      <c r="B7" s="471"/>
      <c r="C7" s="471"/>
      <c r="D7" s="471"/>
      <c r="E7" s="471"/>
      <c r="F7" s="471"/>
      <c r="G7" s="471"/>
      <c r="H7" s="471"/>
      <c r="I7" s="471"/>
      <c r="J7" s="471"/>
      <c r="K7" s="479"/>
    </row>
    <row r="8" spans="1:11" x14ac:dyDescent="0.25">
      <c r="A8" s="478">
        <v>1</v>
      </c>
      <c r="B8" s="477" t="s">
        <v>462</v>
      </c>
      <c r="C8" s="476"/>
      <c r="D8" s="476"/>
      <c r="E8" s="476"/>
      <c r="F8" s="475">
        <v>30861924.899999999</v>
      </c>
      <c r="G8" s="475">
        <v>29185952.499999996</v>
      </c>
      <c r="H8" s="475">
        <f>F8+G8</f>
        <v>60047877.399999991</v>
      </c>
      <c r="I8" s="475">
        <v>21140905.249999996</v>
      </c>
      <c r="J8" s="475">
        <v>6666852.8000000007</v>
      </c>
      <c r="K8" s="474">
        <f>I8+J8</f>
        <v>27807758.049999997</v>
      </c>
    </row>
    <row r="9" spans="1:11" x14ac:dyDescent="0.25">
      <c r="A9" s="472" t="s">
        <v>477</v>
      </c>
      <c r="B9" s="471"/>
      <c r="C9" s="471"/>
      <c r="D9" s="471"/>
      <c r="E9" s="471"/>
      <c r="F9" s="469"/>
      <c r="G9" s="469"/>
      <c r="H9" s="469"/>
      <c r="I9" s="469"/>
      <c r="J9" s="469"/>
      <c r="K9" s="468"/>
    </row>
    <row r="10" spans="1:11" x14ac:dyDescent="0.25">
      <c r="A10" s="274">
        <v>2</v>
      </c>
      <c r="B10" s="465" t="s">
        <v>476</v>
      </c>
      <c r="C10" s="149">
        <v>28209680.745999999</v>
      </c>
      <c r="D10" s="460">
        <v>21381002.535999998</v>
      </c>
      <c r="E10" s="460">
        <f t="shared" ref="E10:E16" si="0">C10+D10</f>
        <v>49590683.281999998</v>
      </c>
      <c r="F10" s="460">
        <v>980767.99514999997</v>
      </c>
      <c r="G10" s="460">
        <v>2516831.9317000001</v>
      </c>
      <c r="H10" s="460">
        <f t="shared" ref="H10:H16" si="1">F10+G10</f>
        <v>3497599.9268499999</v>
      </c>
      <c r="I10" s="460">
        <v>170576.25700000001</v>
      </c>
      <c r="J10" s="460">
        <v>317403.83600000007</v>
      </c>
      <c r="K10" s="464">
        <f t="shared" ref="K10:K15" si="2">I10+J10</f>
        <v>487980.09300000011</v>
      </c>
    </row>
    <row r="11" spans="1:11" x14ac:dyDescent="0.25">
      <c r="A11" s="274">
        <v>3</v>
      </c>
      <c r="B11" s="465" t="s">
        <v>475</v>
      </c>
      <c r="C11" s="149">
        <v>77533099.090000004</v>
      </c>
      <c r="D11" s="460">
        <v>10491882.270000003</v>
      </c>
      <c r="E11" s="460">
        <f t="shared" si="0"/>
        <v>88024981.360000014</v>
      </c>
      <c r="F11" s="460">
        <v>9487105.9602500014</v>
      </c>
      <c r="G11" s="460">
        <v>5289811.9454999976</v>
      </c>
      <c r="H11" s="460">
        <f t="shared" si="1"/>
        <v>14776917.905749999</v>
      </c>
      <c r="I11" s="460">
        <v>4851929.4660999998</v>
      </c>
      <c r="J11" s="460">
        <v>2264207.3515000003</v>
      </c>
      <c r="K11" s="464">
        <f t="shared" si="2"/>
        <v>7116136.8176000006</v>
      </c>
    </row>
    <row r="12" spans="1:11" x14ac:dyDescent="0.25">
      <c r="A12" s="274">
        <v>4</v>
      </c>
      <c r="B12" s="465" t="s">
        <v>474</v>
      </c>
      <c r="C12" s="149">
        <v>1897078.63</v>
      </c>
      <c r="D12" s="460">
        <v>0</v>
      </c>
      <c r="E12" s="460">
        <f t="shared" si="0"/>
        <v>1897078.63</v>
      </c>
      <c r="F12" s="460">
        <v>0</v>
      </c>
      <c r="G12" s="460">
        <v>0</v>
      </c>
      <c r="H12" s="460">
        <f t="shared" si="1"/>
        <v>0</v>
      </c>
      <c r="I12" s="460">
        <v>0</v>
      </c>
      <c r="J12" s="460">
        <v>0</v>
      </c>
      <c r="K12" s="464">
        <f t="shared" si="2"/>
        <v>0</v>
      </c>
    </row>
    <row r="13" spans="1:11" x14ac:dyDescent="0.25">
      <c r="A13" s="274">
        <v>5</v>
      </c>
      <c r="B13" s="465" t="s">
        <v>473</v>
      </c>
      <c r="C13" s="149">
        <v>4864872.6399999997</v>
      </c>
      <c r="D13" s="460">
        <v>13118259.02</v>
      </c>
      <c r="E13" s="460">
        <f t="shared" si="0"/>
        <v>17983131.66</v>
      </c>
      <c r="F13" s="460">
        <v>962012.82600000023</v>
      </c>
      <c r="G13" s="460">
        <v>1905024.4712500002</v>
      </c>
      <c r="H13" s="460">
        <f t="shared" si="1"/>
        <v>2867037.2972500003</v>
      </c>
      <c r="I13" s="460">
        <v>307498.32200000004</v>
      </c>
      <c r="J13" s="460">
        <v>741408.8</v>
      </c>
      <c r="K13" s="464">
        <f t="shared" si="2"/>
        <v>1048907.122</v>
      </c>
    </row>
    <row r="14" spans="1:11" x14ac:dyDescent="0.25">
      <c r="A14" s="274">
        <v>6</v>
      </c>
      <c r="B14" s="465" t="s">
        <v>472</v>
      </c>
      <c r="C14" s="149">
        <v>0</v>
      </c>
      <c r="D14" s="460">
        <v>0</v>
      </c>
      <c r="E14" s="460">
        <f t="shared" si="0"/>
        <v>0</v>
      </c>
      <c r="F14" s="460">
        <f>E14</f>
        <v>0</v>
      </c>
      <c r="G14" s="460">
        <v>0</v>
      </c>
      <c r="H14" s="460">
        <f t="shared" si="1"/>
        <v>0</v>
      </c>
      <c r="I14" s="460">
        <v>0</v>
      </c>
      <c r="J14" s="460">
        <v>0</v>
      </c>
      <c r="K14" s="464">
        <f t="shared" si="2"/>
        <v>0</v>
      </c>
    </row>
    <row r="15" spans="1:11" x14ac:dyDescent="0.25">
      <c r="A15" s="274">
        <v>7</v>
      </c>
      <c r="B15" s="465" t="s">
        <v>471</v>
      </c>
      <c r="C15" s="149">
        <v>3258488.44</v>
      </c>
      <c r="D15" s="460">
        <v>37032351.440000005</v>
      </c>
      <c r="E15" s="460">
        <f t="shared" si="0"/>
        <v>40290839.880000003</v>
      </c>
      <c r="F15" s="460">
        <v>1972577.81</v>
      </c>
      <c r="G15" s="460">
        <v>4377520.3499999996</v>
      </c>
      <c r="H15" s="460">
        <f t="shared" si="1"/>
        <v>6350098.1600000001</v>
      </c>
      <c r="I15" s="460">
        <v>1972577.81</v>
      </c>
      <c r="J15" s="460">
        <v>4377520.3499999996</v>
      </c>
      <c r="K15" s="464">
        <f t="shared" si="2"/>
        <v>6350098.1600000001</v>
      </c>
    </row>
    <row r="16" spans="1:11" x14ac:dyDescent="0.25">
      <c r="A16" s="274">
        <v>8</v>
      </c>
      <c r="B16" s="473" t="s">
        <v>470</v>
      </c>
      <c r="C16" s="149">
        <f>SUM(C10:C15)</f>
        <v>115763219.54599999</v>
      </c>
      <c r="D16" s="149">
        <f>SUM(D10:D15)</f>
        <v>82023495.266000003</v>
      </c>
      <c r="E16" s="460">
        <f t="shared" si="0"/>
        <v>197786714.81199998</v>
      </c>
      <c r="F16" s="460">
        <f>SUM(F10:F15)</f>
        <v>13402464.591400001</v>
      </c>
      <c r="G16" s="460">
        <f>SUM(G10:G15)</f>
        <v>14089188.698449997</v>
      </c>
      <c r="H16" s="460">
        <f t="shared" si="1"/>
        <v>27491653.289849997</v>
      </c>
      <c r="I16" s="460">
        <f>SUM(I10:I15)</f>
        <v>7302581.8551000003</v>
      </c>
      <c r="J16" s="460">
        <f>SUM(J10:J15)</f>
        <v>7700540.3375000004</v>
      </c>
      <c r="K16" s="464">
        <f>SUM(K10:K15)</f>
        <v>15003122.192600001</v>
      </c>
    </row>
    <row r="17" spans="1:11" x14ac:dyDescent="0.25">
      <c r="A17" s="472" t="s">
        <v>469</v>
      </c>
      <c r="B17" s="471"/>
      <c r="C17" s="470"/>
      <c r="D17" s="470"/>
      <c r="E17" s="470"/>
      <c r="F17" s="469"/>
      <c r="G17" s="469"/>
      <c r="H17" s="469"/>
      <c r="I17" s="469"/>
      <c r="J17" s="469"/>
      <c r="K17" s="468"/>
    </row>
    <row r="18" spans="1:11" x14ac:dyDescent="0.25">
      <c r="A18" s="274">
        <v>9</v>
      </c>
      <c r="B18" s="465" t="s">
        <v>468</v>
      </c>
      <c r="C18" s="467">
        <v>0</v>
      </c>
      <c r="D18" s="466">
        <v>0</v>
      </c>
      <c r="E18" s="466">
        <f>C18+D18</f>
        <v>0</v>
      </c>
      <c r="F18" s="460">
        <v>0</v>
      </c>
      <c r="G18" s="460">
        <v>0</v>
      </c>
      <c r="H18" s="460">
        <f>F18+G18</f>
        <v>0</v>
      </c>
      <c r="I18" s="460">
        <v>0</v>
      </c>
      <c r="J18" s="460">
        <v>0</v>
      </c>
      <c r="K18" s="464">
        <f>I18+J18</f>
        <v>0</v>
      </c>
    </row>
    <row r="19" spans="1:11" x14ac:dyDescent="0.25">
      <c r="A19" s="274">
        <v>10</v>
      </c>
      <c r="B19" s="465" t="s">
        <v>467</v>
      </c>
      <c r="C19" s="149">
        <v>75367338.846050873</v>
      </c>
      <c r="D19" s="460">
        <v>61301752.782158785</v>
      </c>
      <c r="E19" s="460">
        <f>C19+D19</f>
        <v>136669091.62820965</v>
      </c>
      <c r="F19" s="460">
        <v>1423309.6871617977</v>
      </c>
      <c r="G19" s="460">
        <v>1040376.9520110034</v>
      </c>
      <c r="H19" s="460">
        <f>F19+G19</f>
        <v>2463686.6391728008</v>
      </c>
      <c r="I19" s="460">
        <v>10453315.477161799</v>
      </c>
      <c r="J19" s="460">
        <v>23907193.932011005</v>
      </c>
      <c r="K19" s="464">
        <f>I19+J19</f>
        <v>34360509.409172803</v>
      </c>
    </row>
    <row r="20" spans="1:11" x14ac:dyDescent="0.25">
      <c r="A20" s="274">
        <v>11</v>
      </c>
      <c r="B20" s="465" t="s">
        <v>466</v>
      </c>
      <c r="C20" s="149">
        <v>39093530.219999999</v>
      </c>
      <c r="D20" s="460">
        <v>1197389.5841999999</v>
      </c>
      <c r="E20" s="460">
        <f>C20+D20</f>
        <v>40290919.804200001</v>
      </c>
      <c r="F20" s="460">
        <v>3676373.2399999998</v>
      </c>
      <c r="G20" s="460">
        <v>701793.84419999993</v>
      </c>
      <c r="H20" s="460">
        <f>F20+G20</f>
        <v>4378167.0841999995</v>
      </c>
      <c r="I20" s="460">
        <v>3676373.2399999998</v>
      </c>
      <c r="J20" s="460">
        <v>701793.84419999993</v>
      </c>
      <c r="K20" s="464">
        <f>I20+J20</f>
        <v>4378167.0841999995</v>
      </c>
    </row>
    <row r="21" spans="1:11" ht="14.25" thickBot="1" x14ac:dyDescent="0.3">
      <c r="A21" s="463">
        <v>12</v>
      </c>
      <c r="B21" s="462" t="s">
        <v>465</v>
      </c>
      <c r="C21" s="461">
        <f>SUM(C18:C20)</f>
        <v>114460869.06605087</v>
      </c>
      <c r="D21" s="461">
        <f>SUM(D18:D20)</f>
        <v>62499142.366358787</v>
      </c>
      <c r="E21" s="461">
        <f>SUM(E18:E20)</f>
        <v>176960011.43240964</v>
      </c>
      <c r="F21" s="459">
        <f>SUM(F18:F20)</f>
        <v>5099682.9271617979</v>
      </c>
      <c r="G21" s="459">
        <f>SUM(G18:G20)</f>
        <v>1742170.7962110033</v>
      </c>
      <c r="H21" s="460">
        <f>F21+G21</f>
        <v>6841853.7233728012</v>
      </c>
      <c r="I21" s="459">
        <f>SUM(I18:I20)</f>
        <v>14129688.717161799</v>
      </c>
      <c r="J21" s="459">
        <f>SUM(J18:J20)</f>
        <v>24608987.776211005</v>
      </c>
      <c r="K21" s="458">
        <f>SUM(K18:K20)</f>
        <v>38738676.493372805</v>
      </c>
    </row>
    <row r="22" spans="1:11" ht="38.25" customHeight="1" thickBot="1" x14ac:dyDescent="0.3">
      <c r="A22" s="457"/>
      <c r="B22" s="456"/>
      <c r="C22" s="455"/>
      <c r="D22" s="455"/>
      <c r="E22" s="455"/>
      <c r="F22" s="827" t="s">
        <v>464</v>
      </c>
      <c r="G22" s="828"/>
      <c r="H22" s="828"/>
      <c r="I22" s="827" t="s">
        <v>463</v>
      </c>
      <c r="J22" s="828"/>
      <c r="K22" s="829"/>
    </row>
    <row r="23" spans="1:11" x14ac:dyDescent="0.25">
      <c r="A23" s="454">
        <v>13</v>
      </c>
      <c r="B23" s="453" t="s">
        <v>462</v>
      </c>
      <c r="C23" s="452"/>
      <c r="D23" s="451"/>
      <c r="E23" s="451"/>
      <c r="F23" s="450">
        <f t="shared" ref="F23:K23" si="3">F8</f>
        <v>30861924.899999999</v>
      </c>
      <c r="G23" s="450">
        <f t="shared" si="3"/>
        <v>29185952.499999996</v>
      </c>
      <c r="H23" s="450">
        <f t="shared" si="3"/>
        <v>60047877.399999991</v>
      </c>
      <c r="I23" s="449">
        <f t="shared" si="3"/>
        <v>21140905.249999996</v>
      </c>
      <c r="J23" s="449">
        <f t="shared" si="3"/>
        <v>6666852.8000000007</v>
      </c>
      <c r="K23" s="448">
        <f t="shared" si="3"/>
        <v>27807758.049999997</v>
      </c>
    </row>
    <row r="24" spans="1:11" ht="14.25" thickBot="1" x14ac:dyDescent="0.3">
      <c r="A24" s="447">
        <v>14</v>
      </c>
      <c r="B24" s="446" t="s">
        <v>461</v>
      </c>
      <c r="C24" s="445"/>
      <c r="D24" s="444"/>
      <c r="E24" s="443"/>
      <c r="F24" s="442">
        <v>8302781.6642382061</v>
      </c>
      <c r="G24" s="442">
        <v>12347017.902238995</v>
      </c>
      <c r="H24" s="442">
        <f>MAX(H16-H21,H16*0.25)</f>
        <v>20649799.566477194</v>
      </c>
      <c r="I24" s="441">
        <v>1825645.4637749998</v>
      </c>
      <c r="J24" s="441">
        <v>1925135.0843750001</v>
      </c>
      <c r="K24" s="440">
        <f>MAX(K16-K21,K16*0.25)</f>
        <v>3750780.5481500002</v>
      </c>
    </row>
    <row r="25" spans="1:11" ht="14.25" thickBot="1" x14ac:dyDescent="0.3">
      <c r="A25" s="439">
        <v>15</v>
      </c>
      <c r="B25" s="438" t="s">
        <v>46</v>
      </c>
      <c r="C25" s="437"/>
      <c r="D25" s="436"/>
      <c r="E25" s="436"/>
      <c r="F25" s="435">
        <f t="shared" ref="F25:K25" si="4">IFERROR(F23/F24,0)</f>
        <v>3.7170584688416746</v>
      </c>
      <c r="G25" s="435">
        <f t="shared" si="4"/>
        <v>2.3638057975689373</v>
      </c>
      <c r="H25" s="435">
        <f t="shared" si="4"/>
        <v>2.9079157503049804</v>
      </c>
      <c r="I25" s="435">
        <f t="shared" si="4"/>
        <v>11.579962084360915</v>
      </c>
      <c r="J25" s="435">
        <f t="shared" si="4"/>
        <v>3.463057140306812</v>
      </c>
      <c r="K25" s="434">
        <f t="shared" si="4"/>
        <v>7.4138589802902848</v>
      </c>
    </row>
    <row r="28" spans="1:11" ht="54" x14ac:dyDescent="0.25">
      <c r="B28" s="24" t="s">
        <v>460</v>
      </c>
    </row>
    <row r="29" spans="1:11" x14ac:dyDescent="0.25">
      <c r="F29" s="433"/>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B57D3-CCBA-4BFD-9327-D08D01D1F2C3}">
  <dimension ref="A1:N23"/>
  <sheetViews>
    <sheetView zoomScaleNormal="100" workbookViewId="0">
      <pane xSplit="1" ySplit="5" topLeftCell="B6" activePane="bottomRight" state="frozen"/>
      <selection activeCell="B43" sqref="B43"/>
      <selection pane="topRight" activeCell="B43" sqref="B43"/>
      <selection pane="bottomLeft" activeCell="B43" sqref="B43"/>
      <selection pane="bottomRight" activeCell="C8" sqref="C8"/>
    </sheetView>
  </sheetViews>
  <sheetFormatPr defaultColWidth="9.140625" defaultRowHeight="15" x14ac:dyDescent="0.3"/>
  <cols>
    <col min="1" max="1" width="10.5703125" style="340" bestFit="1" customWidth="1"/>
    <col min="2" max="2" width="95" style="340" customWidth="1"/>
    <col min="3" max="3" width="12.5703125" style="340" bestFit="1" customWidth="1"/>
    <col min="4" max="4" width="10" style="340" bestFit="1" customWidth="1"/>
    <col min="5" max="5" width="18.28515625" style="340" bestFit="1" customWidth="1"/>
    <col min="6" max="6" width="10.7109375" style="340" customWidth="1"/>
    <col min="7" max="7" width="16" style="340" customWidth="1"/>
    <col min="8" max="13" width="10.7109375" style="340" customWidth="1"/>
    <col min="14" max="14" width="22" style="340" customWidth="1"/>
    <col min="15" max="16384" width="9.140625" style="194"/>
  </cols>
  <sheetData>
    <row r="1" spans="1:14" x14ac:dyDescent="0.3">
      <c r="A1" s="1" t="s">
        <v>94</v>
      </c>
      <c r="B1" s="340" t="str">
        <f>Info!C2</f>
        <v>სს სილქ ბანკი</v>
      </c>
    </row>
    <row r="2" spans="1:14" ht="14.25" customHeight="1" x14ac:dyDescent="0.3">
      <c r="A2" s="340" t="s">
        <v>93</v>
      </c>
      <c r="B2" s="114">
        <f>'1. key ratios'!B2</f>
        <v>45565</v>
      </c>
    </row>
    <row r="3" spans="1:14" ht="14.25" customHeight="1" x14ac:dyDescent="0.3"/>
    <row r="4" spans="1:14" ht="40.5" customHeight="1" thickBot="1" x14ac:dyDescent="0.35">
      <c r="A4" s="1" t="s">
        <v>494</v>
      </c>
      <c r="B4" s="518" t="s">
        <v>12</v>
      </c>
    </row>
    <row r="5" spans="1:14" s="513" customFormat="1" ht="13.5" x14ac:dyDescent="0.25">
      <c r="A5" s="517"/>
      <c r="B5" s="516"/>
      <c r="C5" s="515" t="s">
        <v>299</v>
      </c>
      <c r="D5" s="515" t="s">
        <v>298</v>
      </c>
      <c r="E5" s="515" t="s">
        <v>297</v>
      </c>
      <c r="F5" s="515" t="s">
        <v>424</v>
      </c>
      <c r="G5" s="515" t="s">
        <v>423</v>
      </c>
      <c r="H5" s="515" t="s">
        <v>422</v>
      </c>
      <c r="I5" s="515" t="s">
        <v>421</v>
      </c>
      <c r="J5" s="515" t="s">
        <v>420</v>
      </c>
      <c r="K5" s="515" t="s">
        <v>419</v>
      </c>
      <c r="L5" s="515" t="s">
        <v>418</v>
      </c>
      <c r="M5" s="515" t="s">
        <v>417</v>
      </c>
      <c r="N5" s="514" t="s">
        <v>416</v>
      </c>
    </row>
    <row r="6" spans="1:14" ht="75" x14ac:dyDescent="0.3">
      <c r="A6" s="512"/>
      <c r="B6" s="502"/>
      <c r="C6" s="511" t="s">
        <v>493</v>
      </c>
      <c r="D6" s="510" t="s">
        <v>492</v>
      </c>
      <c r="E6" s="509" t="s">
        <v>491</v>
      </c>
      <c r="F6" s="508">
        <v>0</v>
      </c>
      <c r="G6" s="508">
        <v>0.2</v>
      </c>
      <c r="H6" s="508">
        <v>0.35</v>
      </c>
      <c r="I6" s="508">
        <v>0.5</v>
      </c>
      <c r="J6" s="508">
        <v>0.75</v>
      </c>
      <c r="K6" s="508">
        <v>1</v>
      </c>
      <c r="L6" s="508">
        <v>1.5</v>
      </c>
      <c r="M6" s="508">
        <v>2.5</v>
      </c>
      <c r="N6" s="507" t="s">
        <v>12</v>
      </c>
    </row>
    <row r="7" spans="1:14" x14ac:dyDescent="0.3">
      <c r="A7" s="499">
        <v>1</v>
      </c>
      <c r="B7" s="506" t="s">
        <v>490</v>
      </c>
      <c r="C7" s="503">
        <f>SUM(C8:C13)</f>
        <v>32756400</v>
      </c>
      <c r="D7" s="502"/>
      <c r="E7" s="500">
        <f t="shared" ref="E7:N7" si="0">SUM(E8:E13)</f>
        <v>655128</v>
      </c>
      <c r="F7" s="503">
        <f t="shared" si="0"/>
        <v>0</v>
      </c>
      <c r="G7" s="503">
        <f t="shared" si="0"/>
        <v>0</v>
      </c>
      <c r="H7" s="503">
        <f t="shared" si="0"/>
        <v>0</v>
      </c>
      <c r="I7" s="503">
        <f t="shared" si="0"/>
        <v>0</v>
      </c>
      <c r="J7" s="503">
        <f t="shared" si="0"/>
        <v>0</v>
      </c>
      <c r="K7" s="503">
        <f t="shared" si="0"/>
        <v>655128</v>
      </c>
      <c r="L7" s="503">
        <f t="shared" si="0"/>
        <v>0</v>
      </c>
      <c r="M7" s="503">
        <f t="shared" si="0"/>
        <v>0</v>
      </c>
      <c r="N7" s="494">
        <f t="shared" si="0"/>
        <v>655128</v>
      </c>
    </row>
    <row r="8" spans="1:14" x14ac:dyDescent="0.3">
      <c r="A8" s="499">
        <v>1.1000000000000001</v>
      </c>
      <c r="B8" s="505" t="s">
        <v>488</v>
      </c>
      <c r="C8" s="495">
        <f>'4. Off-balance'!E32</f>
        <v>32756400</v>
      </c>
      <c r="D8" s="501">
        <v>0.02</v>
      </c>
      <c r="E8" s="500">
        <f>C8*D8</f>
        <v>655128</v>
      </c>
      <c r="F8" s="495"/>
      <c r="G8" s="495"/>
      <c r="H8" s="495"/>
      <c r="I8" s="495"/>
      <c r="J8" s="495"/>
      <c r="K8" s="495">
        <f>E8</f>
        <v>655128</v>
      </c>
      <c r="L8" s="495"/>
      <c r="M8" s="495"/>
      <c r="N8" s="494">
        <f t="shared" ref="N8:N13" si="1">SUMPRODUCT($F$6:$M$6,F8:M8)</f>
        <v>655128</v>
      </c>
    </row>
    <row r="9" spans="1:14" x14ac:dyDescent="0.3">
      <c r="A9" s="499">
        <v>1.2</v>
      </c>
      <c r="B9" s="505" t="s">
        <v>487</v>
      </c>
      <c r="C9" s="495">
        <v>0</v>
      </c>
      <c r="D9" s="501">
        <v>0.05</v>
      </c>
      <c r="E9" s="500">
        <f>C9*D9</f>
        <v>0</v>
      </c>
      <c r="F9" s="495"/>
      <c r="G9" s="495"/>
      <c r="H9" s="495"/>
      <c r="I9" s="495"/>
      <c r="J9" s="495"/>
      <c r="K9" s="495"/>
      <c r="L9" s="495"/>
      <c r="M9" s="495"/>
      <c r="N9" s="494">
        <f t="shared" si="1"/>
        <v>0</v>
      </c>
    </row>
    <row r="10" spans="1:14" x14ac:dyDescent="0.3">
      <c r="A10" s="499">
        <v>1.3</v>
      </c>
      <c r="B10" s="505" t="s">
        <v>486</v>
      </c>
      <c r="C10" s="495">
        <v>0</v>
      </c>
      <c r="D10" s="501">
        <v>0.08</v>
      </c>
      <c r="E10" s="500">
        <f>C10*D10</f>
        <v>0</v>
      </c>
      <c r="F10" s="495"/>
      <c r="G10" s="495"/>
      <c r="H10" s="495"/>
      <c r="I10" s="495"/>
      <c r="J10" s="495"/>
      <c r="K10" s="495"/>
      <c r="L10" s="495"/>
      <c r="M10" s="495"/>
      <c r="N10" s="494">
        <f t="shared" si="1"/>
        <v>0</v>
      </c>
    </row>
    <row r="11" spans="1:14" x14ac:dyDescent="0.3">
      <c r="A11" s="499">
        <v>1.4</v>
      </c>
      <c r="B11" s="505" t="s">
        <v>485</v>
      </c>
      <c r="C11" s="495">
        <v>0</v>
      </c>
      <c r="D11" s="501">
        <v>0.11</v>
      </c>
      <c r="E11" s="500">
        <f>C11*D11</f>
        <v>0</v>
      </c>
      <c r="F11" s="495"/>
      <c r="G11" s="495"/>
      <c r="H11" s="495"/>
      <c r="I11" s="495"/>
      <c r="J11" s="495"/>
      <c r="K11" s="495"/>
      <c r="L11" s="495"/>
      <c r="M11" s="495"/>
      <c r="N11" s="494">
        <f t="shared" si="1"/>
        <v>0</v>
      </c>
    </row>
    <row r="12" spans="1:14" x14ac:dyDescent="0.3">
      <c r="A12" s="499">
        <v>1.5</v>
      </c>
      <c r="B12" s="505" t="s">
        <v>484</v>
      </c>
      <c r="C12" s="495">
        <v>0</v>
      </c>
      <c r="D12" s="501">
        <v>0.14000000000000001</v>
      </c>
      <c r="E12" s="500">
        <f>C12*D12</f>
        <v>0</v>
      </c>
      <c r="F12" s="495"/>
      <c r="G12" s="495"/>
      <c r="H12" s="495"/>
      <c r="I12" s="495"/>
      <c r="J12" s="495"/>
      <c r="K12" s="495"/>
      <c r="L12" s="495"/>
      <c r="M12" s="495"/>
      <c r="N12" s="494">
        <f t="shared" si="1"/>
        <v>0</v>
      </c>
    </row>
    <row r="13" spans="1:14" x14ac:dyDescent="0.3">
      <c r="A13" s="499">
        <v>1.6</v>
      </c>
      <c r="B13" s="498" t="s">
        <v>483</v>
      </c>
      <c r="C13" s="495">
        <v>0</v>
      </c>
      <c r="D13" s="497"/>
      <c r="E13" s="495"/>
      <c r="F13" s="495"/>
      <c r="G13" s="495"/>
      <c r="H13" s="495"/>
      <c r="I13" s="495"/>
      <c r="J13" s="495"/>
      <c r="K13" s="495"/>
      <c r="L13" s="495"/>
      <c r="M13" s="495"/>
      <c r="N13" s="494">
        <f t="shared" si="1"/>
        <v>0</v>
      </c>
    </row>
    <row r="14" spans="1:14" x14ac:dyDescent="0.3">
      <c r="A14" s="499">
        <v>2</v>
      </c>
      <c r="B14" s="504" t="s">
        <v>489</v>
      </c>
      <c r="C14" s="503">
        <f>SUM(C15:C20)</f>
        <v>0</v>
      </c>
      <c r="D14" s="502"/>
      <c r="E14" s="500">
        <f t="shared" ref="E14:N14" si="2">SUM(E15:E20)</f>
        <v>0</v>
      </c>
      <c r="F14" s="495">
        <f t="shared" si="2"/>
        <v>0</v>
      </c>
      <c r="G14" s="495">
        <f t="shared" si="2"/>
        <v>0</v>
      </c>
      <c r="H14" s="495">
        <f t="shared" si="2"/>
        <v>0</v>
      </c>
      <c r="I14" s="495">
        <f t="shared" si="2"/>
        <v>0</v>
      </c>
      <c r="J14" s="495">
        <f t="shared" si="2"/>
        <v>0</v>
      </c>
      <c r="K14" s="495">
        <f t="shared" si="2"/>
        <v>0</v>
      </c>
      <c r="L14" s="495">
        <f t="shared" si="2"/>
        <v>0</v>
      </c>
      <c r="M14" s="495">
        <f t="shared" si="2"/>
        <v>0</v>
      </c>
      <c r="N14" s="494">
        <f t="shared" si="2"/>
        <v>0</v>
      </c>
    </row>
    <row r="15" spans="1:14" x14ac:dyDescent="0.3">
      <c r="A15" s="499">
        <v>2.1</v>
      </c>
      <c r="B15" s="498" t="s">
        <v>488</v>
      </c>
      <c r="C15" s="495"/>
      <c r="D15" s="501">
        <v>5.0000000000000001E-3</v>
      </c>
      <c r="E15" s="500">
        <f>C15*D15</f>
        <v>0</v>
      </c>
      <c r="F15" s="495"/>
      <c r="G15" s="495"/>
      <c r="H15" s="495"/>
      <c r="I15" s="495"/>
      <c r="J15" s="495"/>
      <c r="K15" s="495"/>
      <c r="L15" s="495"/>
      <c r="M15" s="495"/>
      <c r="N15" s="494">
        <f t="shared" ref="N15:N20" si="3">SUMPRODUCT($F$6:$M$6,F15:M15)</f>
        <v>0</v>
      </c>
    </row>
    <row r="16" spans="1:14" x14ac:dyDescent="0.3">
      <c r="A16" s="499">
        <v>2.2000000000000002</v>
      </c>
      <c r="B16" s="498" t="s">
        <v>487</v>
      </c>
      <c r="C16" s="495"/>
      <c r="D16" s="501">
        <v>0.01</v>
      </c>
      <c r="E16" s="500">
        <f>C16*D16</f>
        <v>0</v>
      </c>
      <c r="F16" s="495"/>
      <c r="G16" s="495"/>
      <c r="H16" s="495"/>
      <c r="I16" s="495"/>
      <c r="J16" s="495"/>
      <c r="K16" s="495"/>
      <c r="L16" s="495"/>
      <c r="M16" s="495"/>
      <c r="N16" s="494">
        <f t="shared" si="3"/>
        <v>0</v>
      </c>
    </row>
    <row r="17" spans="1:14" x14ac:dyDescent="0.3">
      <c r="A17" s="499">
        <v>2.2999999999999998</v>
      </c>
      <c r="B17" s="498" t="s">
        <v>486</v>
      </c>
      <c r="C17" s="495"/>
      <c r="D17" s="501">
        <v>0.02</v>
      </c>
      <c r="E17" s="500">
        <f>C17*D17</f>
        <v>0</v>
      </c>
      <c r="F17" s="495"/>
      <c r="G17" s="495"/>
      <c r="H17" s="495"/>
      <c r="I17" s="495"/>
      <c r="J17" s="495"/>
      <c r="K17" s="495"/>
      <c r="L17" s="495"/>
      <c r="M17" s="495"/>
      <c r="N17" s="494">
        <f t="shared" si="3"/>
        <v>0</v>
      </c>
    </row>
    <row r="18" spans="1:14" x14ac:dyDescent="0.3">
      <c r="A18" s="499">
        <v>2.4</v>
      </c>
      <c r="B18" s="498" t="s">
        <v>485</v>
      </c>
      <c r="C18" s="495"/>
      <c r="D18" s="501">
        <v>0.03</v>
      </c>
      <c r="E18" s="500">
        <f>C18*D18</f>
        <v>0</v>
      </c>
      <c r="F18" s="495"/>
      <c r="G18" s="495"/>
      <c r="H18" s="495"/>
      <c r="I18" s="495"/>
      <c r="J18" s="495"/>
      <c r="K18" s="495"/>
      <c r="L18" s="495"/>
      <c r="M18" s="495"/>
      <c r="N18" s="494">
        <f t="shared" si="3"/>
        <v>0</v>
      </c>
    </row>
    <row r="19" spans="1:14" x14ac:dyDescent="0.3">
      <c r="A19" s="499">
        <v>2.5</v>
      </c>
      <c r="B19" s="498" t="s">
        <v>484</v>
      </c>
      <c r="C19" s="495"/>
      <c r="D19" s="501">
        <v>0.04</v>
      </c>
      <c r="E19" s="500">
        <f>C19*D19</f>
        <v>0</v>
      </c>
      <c r="F19" s="495"/>
      <c r="G19" s="495"/>
      <c r="H19" s="495"/>
      <c r="I19" s="495"/>
      <c r="J19" s="495"/>
      <c r="K19" s="495"/>
      <c r="L19" s="495"/>
      <c r="M19" s="495"/>
      <c r="N19" s="494">
        <f t="shared" si="3"/>
        <v>0</v>
      </c>
    </row>
    <row r="20" spans="1:14" x14ac:dyDescent="0.3">
      <c r="A20" s="499">
        <v>2.6</v>
      </c>
      <c r="B20" s="498" t="s">
        <v>483</v>
      </c>
      <c r="C20" s="495"/>
      <c r="D20" s="497"/>
      <c r="E20" s="496"/>
      <c r="F20" s="495"/>
      <c r="G20" s="495"/>
      <c r="H20" s="495"/>
      <c r="I20" s="495"/>
      <c r="J20" s="495"/>
      <c r="K20" s="495"/>
      <c r="L20" s="495"/>
      <c r="M20" s="495"/>
      <c r="N20" s="494">
        <f t="shared" si="3"/>
        <v>0</v>
      </c>
    </row>
    <row r="21" spans="1:14" ht="15.75" thickBot="1" x14ac:dyDescent="0.35">
      <c r="A21" s="493">
        <v>3</v>
      </c>
      <c r="B21" s="492" t="s">
        <v>157</v>
      </c>
      <c r="C21" s="491">
        <f>C14+C7</f>
        <v>32756400</v>
      </c>
      <c r="D21" s="490"/>
      <c r="E21" s="489">
        <f>E14+E7</f>
        <v>655128</v>
      </c>
      <c r="F21" s="488">
        <f t="shared" ref="F21:M21" si="4">F7+F14</f>
        <v>0</v>
      </c>
      <c r="G21" s="488">
        <f t="shared" si="4"/>
        <v>0</v>
      </c>
      <c r="H21" s="488">
        <f t="shared" si="4"/>
        <v>0</v>
      </c>
      <c r="I21" s="488">
        <f t="shared" si="4"/>
        <v>0</v>
      </c>
      <c r="J21" s="488">
        <f t="shared" si="4"/>
        <v>0</v>
      </c>
      <c r="K21" s="488">
        <f t="shared" si="4"/>
        <v>655128</v>
      </c>
      <c r="L21" s="488">
        <f t="shared" si="4"/>
        <v>0</v>
      </c>
      <c r="M21" s="488">
        <f t="shared" si="4"/>
        <v>0</v>
      </c>
      <c r="N21" s="487">
        <f>N14+N7</f>
        <v>655128</v>
      </c>
    </row>
    <row r="22" spans="1:14" x14ac:dyDescent="0.3">
      <c r="B22" s="486"/>
      <c r="E22" s="485"/>
      <c r="F22" s="485"/>
      <c r="G22" s="485"/>
      <c r="H22" s="485"/>
      <c r="I22" s="485"/>
      <c r="J22" s="485"/>
      <c r="K22" s="485"/>
      <c r="L22" s="485"/>
      <c r="M22" s="485"/>
    </row>
    <row r="23" spans="1:14" x14ac:dyDescent="0.3">
      <c r="E23" s="484">
        <f>'5. RWA'!C10-E21</f>
        <v>0</v>
      </c>
    </row>
  </sheetData>
  <conditionalFormatting sqref="E8:E12">
    <cfRule type="expression" dxfId="22" priority="2">
      <formula>(C8*D8)&lt;&gt;SUM(#REF!)</formula>
    </cfRule>
  </conditionalFormatting>
  <conditionalFormatting sqref="E15:E19">
    <cfRule type="expression" dxfId="21" priority="1">
      <formula>(C15*D15)&lt;&gt;SUM(#REF!)</formula>
    </cfRule>
  </conditionalFormatting>
  <conditionalFormatting sqref="E20">
    <cfRule type="expression" dxfId="20" priority="3">
      <formula>$E$88&lt;&gt;SUM(#REF!)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75A3-5148-4FD2-9F50-5EF0D9E429B3}">
  <dimension ref="A1:C43"/>
  <sheetViews>
    <sheetView topLeftCell="A11" workbookViewId="0">
      <selection activeCell="E24" sqref="E24"/>
    </sheetView>
  </sheetViews>
  <sheetFormatPr defaultRowHeight="15" x14ac:dyDescent="0.25"/>
  <cols>
    <col min="1" max="1" width="11.42578125" customWidth="1"/>
    <col min="2" max="2" width="76.85546875" style="233" customWidth="1"/>
    <col min="3" max="3" width="22.85546875" customWidth="1"/>
    <col min="5" max="5" width="23.7109375" customWidth="1"/>
  </cols>
  <sheetData>
    <row r="1" spans="1:3" x14ac:dyDescent="0.25">
      <c r="A1" s="1" t="s">
        <v>94</v>
      </c>
      <c r="B1" t="str">
        <f>Info!C2</f>
        <v>სს სილქ ბანკი</v>
      </c>
    </row>
    <row r="2" spans="1:3" x14ac:dyDescent="0.25">
      <c r="A2" s="1" t="s">
        <v>93</v>
      </c>
      <c r="B2" s="114">
        <f>'1. key ratios'!B2</f>
        <v>45565</v>
      </c>
    </row>
    <row r="3" spans="1:3" x14ac:dyDescent="0.25">
      <c r="A3" s="1"/>
      <c r="B3"/>
    </row>
    <row r="4" spans="1:3" ht="40.5" customHeight="1" x14ac:dyDescent="0.25">
      <c r="A4" s="1" t="s">
        <v>537</v>
      </c>
      <c r="B4" t="s">
        <v>11</v>
      </c>
    </row>
    <row r="5" spans="1:3" x14ac:dyDescent="0.25">
      <c r="A5" s="546"/>
      <c r="B5" s="546" t="s">
        <v>536</v>
      </c>
      <c r="C5" s="545"/>
    </row>
    <row r="6" spans="1:3" x14ac:dyDescent="0.25">
      <c r="A6" s="544">
        <v>1</v>
      </c>
      <c r="B6" s="535" t="s">
        <v>535</v>
      </c>
      <c r="C6" s="713">
        <v>213927194.89892879</v>
      </c>
    </row>
    <row r="7" spans="1:3" x14ac:dyDescent="0.25">
      <c r="A7" s="544">
        <v>2</v>
      </c>
      <c r="B7" s="535" t="s">
        <v>534</v>
      </c>
      <c r="C7" s="534">
        <v>-5086635.5304706609</v>
      </c>
    </row>
    <row r="8" spans="1:3" x14ac:dyDescent="0.25">
      <c r="A8" s="543">
        <v>3</v>
      </c>
      <c r="B8" s="542" t="s">
        <v>533</v>
      </c>
      <c r="C8" s="530">
        <f>C6+C7</f>
        <v>208840559.36845812</v>
      </c>
    </row>
    <row r="9" spans="1:3" x14ac:dyDescent="0.25">
      <c r="A9" s="531"/>
      <c r="B9" s="531" t="s">
        <v>532</v>
      </c>
      <c r="C9" s="525"/>
    </row>
    <row r="10" spans="1:3" x14ac:dyDescent="0.25">
      <c r="A10" s="532">
        <v>4</v>
      </c>
      <c r="B10" s="523" t="s">
        <v>531</v>
      </c>
      <c r="C10" s="534"/>
    </row>
    <row r="11" spans="1:3" x14ac:dyDescent="0.25">
      <c r="A11" s="532">
        <v>5</v>
      </c>
      <c r="B11" s="521" t="s">
        <v>530</v>
      </c>
      <c r="C11" s="534"/>
    </row>
    <row r="12" spans="1:3" x14ac:dyDescent="0.25">
      <c r="A12" s="532" t="s">
        <v>529</v>
      </c>
      <c r="B12" s="535" t="s">
        <v>528</v>
      </c>
      <c r="C12" s="530">
        <f>'15. CCR'!E21</f>
        <v>655128</v>
      </c>
    </row>
    <row r="13" spans="1:3" x14ac:dyDescent="0.25">
      <c r="A13" s="536">
        <v>6</v>
      </c>
      <c r="B13" s="541" t="s">
        <v>527</v>
      </c>
      <c r="C13" s="534"/>
    </row>
    <row r="14" spans="1:3" x14ac:dyDescent="0.25">
      <c r="A14" s="536">
        <v>7</v>
      </c>
      <c r="B14" s="539" t="s">
        <v>526</v>
      </c>
      <c r="C14" s="534"/>
    </row>
    <row r="15" spans="1:3" x14ac:dyDescent="0.25">
      <c r="A15" s="540">
        <v>8</v>
      </c>
      <c r="B15" s="535" t="s">
        <v>525</v>
      </c>
      <c r="C15" s="534"/>
    </row>
    <row r="16" spans="1:3" ht="24" x14ac:dyDescent="0.25">
      <c r="A16" s="536">
        <v>9</v>
      </c>
      <c r="B16" s="539" t="s">
        <v>524</v>
      </c>
      <c r="C16" s="534"/>
    </row>
    <row r="17" spans="1:3" x14ac:dyDescent="0.25">
      <c r="A17" s="536">
        <v>10</v>
      </c>
      <c r="B17" s="539" t="s">
        <v>523</v>
      </c>
      <c r="C17" s="534"/>
    </row>
    <row r="18" spans="1:3" x14ac:dyDescent="0.25">
      <c r="A18" s="529">
        <v>11</v>
      </c>
      <c r="B18" s="528" t="s">
        <v>522</v>
      </c>
      <c r="C18" s="530">
        <f>SUM(C10:C17)</f>
        <v>655128</v>
      </c>
    </row>
    <row r="19" spans="1:3" x14ac:dyDescent="0.25">
      <c r="A19" s="531"/>
      <c r="B19" s="531" t="s">
        <v>521</v>
      </c>
      <c r="C19" s="538"/>
    </row>
    <row r="20" spans="1:3" x14ac:dyDescent="0.25">
      <c r="A20" s="536">
        <v>12</v>
      </c>
      <c r="B20" s="523" t="s">
        <v>520</v>
      </c>
      <c r="C20" s="534"/>
    </row>
    <row r="21" spans="1:3" x14ac:dyDescent="0.25">
      <c r="A21" s="536">
        <v>13</v>
      </c>
      <c r="B21" s="523" t="s">
        <v>519</v>
      </c>
      <c r="C21" s="534"/>
    </row>
    <row r="22" spans="1:3" x14ac:dyDescent="0.25">
      <c r="A22" s="536">
        <v>14</v>
      </c>
      <c r="B22" s="537" t="s">
        <v>518</v>
      </c>
      <c r="C22" s="534"/>
    </row>
    <row r="23" spans="1:3" ht="24" x14ac:dyDescent="0.25">
      <c r="A23" s="536" t="s">
        <v>517</v>
      </c>
      <c r="B23" s="523" t="s">
        <v>516</v>
      </c>
      <c r="C23" s="534"/>
    </row>
    <row r="24" spans="1:3" x14ac:dyDescent="0.25">
      <c r="A24" s="536">
        <v>15</v>
      </c>
      <c r="B24" s="523" t="s">
        <v>515</v>
      </c>
      <c r="C24" s="534"/>
    </row>
    <row r="25" spans="1:3" x14ac:dyDescent="0.25">
      <c r="A25" s="536" t="s">
        <v>514</v>
      </c>
      <c r="B25" s="535" t="s">
        <v>513</v>
      </c>
      <c r="C25" s="534"/>
    </row>
    <row r="26" spans="1:3" x14ac:dyDescent="0.25">
      <c r="A26" s="529">
        <v>16</v>
      </c>
      <c r="B26" s="528" t="s">
        <v>512</v>
      </c>
      <c r="C26" s="530">
        <f>SUM(C20:C25)</f>
        <v>0</v>
      </c>
    </row>
    <row r="27" spans="1:3" x14ac:dyDescent="0.25">
      <c r="A27" s="531"/>
      <c r="B27" s="531" t="s">
        <v>511</v>
      </c>
      <c r="C27" s="525"/>
    </row>
    <row r="28" spans="1:3" x14ac:dyDescent="0.25">
      <c r="A28" s="532">
        <v>17</v>
      </c>
      <c r="B28" s="535" t="s">
        <v>510</v>
      </c>
      <c r="C28" s="534">
        <v>13406067.86039602</v>
      </c>
    </row>
    <row r="29" spans="1:3" x14ac:dyDescent="0.25">
      <c r="A29" s="532">
        <v>18</v>
      </c>
      <c r="B29" s="535" t="s">
        <v>509</v>
      </c>
      <c r="C29" s="534">
        <v>-13008326.874356419</v>
      </c>
    </row>
    <row r="30" spans="1:3" x14ac:dyDescent="0.25">
      <c r="A30" s="529">
        <v>19</v>
      </c>
      <c r="B30" s="528" t="s">
        <v>508</v>
      </c>
      <c r="C30" s="530">
        <f>C28+C29</f>
        <v>397740.98603960127</v>
      </c>
    </row>
    <row r="31" spans="1:3" x14ac:dyDescent="0.25">
      <c r="A31" s="533"/>
      <c r="B31" s="531" t="s">
        <v>507</v>
      </c>
      <c r="C31" s="525"/>
    </row>
    <row r="32" spans="1:3" x14ac:dyDescent="0.25">
      <c r="A32" s="532" t="s">
        <v>506</v>
      </c>
      <c r="B32" s="523" t="s">
        <v>505</v>
      </c>
      <c r="C32" s="520"/>
    </row>
    <row r="33" spans="1:3" x14ac:dyDescent="0.25">
      <c r="A33" s="532" t="s">
        <v>504</v>
      </c>
      <c r="B33" s="521" t="s">
        <v>503</v>
      </c>
      <c r="C33" s="520"/>
    </row>
    <row r="34" spans="1:3" x14ac:dyDescent="0.25">
      <c r="A34" s="531"/>
      <c r="B34" s="531" t="s">
        <v>502</v>
      </c>
      <c r="C34" s="525"/>
    </row>
    <row r="35" spans="1:3" x14ac:dyDescent="0.25">
      <c r="A35" s="529">
        <v>20</v>
      </c>
      <c r="B35" s="528" t="s">
        <v>77</v>
      </c>
      <c r="C35" s="530">
        <f>'1. key ratios'!C9</f>
        <v>51619324.636120379</v>
      </c>
    </row>
    <row r="36" spans="1:3" x14ac:dyDescent="0.25">
      <c r="A36" s="529">
        <v>21</v>
      </c>
      <c r="B36" s="528" t="s">
        <v>501</v>
      </c>
      <c r="C36" s="530">
        <f>C8+C18+C26+C30</f>
        <v>209893428.35449773</v>
      </c>
    </row>
    <row r="37" spans="1:3" x14ac:dyDescent="0.25">
      <c r="A37" s="526"/>
      <c r="B37" s="526" t="s">
        <v>11</v>
      </c>
      <c r="C37" s="525"/>
    </row>
    <row r="38" spans="1:3" x14ac:dyDescent="0.25">
      <c r="A38" s="529">
        <v>22</v>
      </c>
      <c r="B38" s="528" t="s">
        <v>11</v>
      </c>
      <c r="C38" s="527">
        <f>IFERROR(C35/C36,0)</f>
        <v>0.24593111390290104</v>
      </c>
    </row>
    <row r="39" spans="1:3" x14ac:dyDescent="0.25">
      <c r="A39" s="526"/>
      <c r="B39" s="526" t="s">
        <v>500</v>
      </c>
      <c r="C39" s="525"/>
    </row>
    <row r="40" spans="1:3" x14ac:dyDescent="0.25">
      <c r="A40" s="524" t="s">
        <v>499</v>
      </c>
      <c r="B40" s="523" t="s">
        <v>498</v>
      </c>
      <c r="C40" s="520"/>
    </row>
    <row r="41" spans="1:3" x14ac:dyDescent="0.25">
      <c r="A41" s="522" t="s">
        <v>497</v>
      </c>
      <c r="B41" s="521" t="s">
        <v>496</v>
      </c>
      <c r="C41" s="520"/>
    </row>
    <row r="43" spans="1:3" x14ac:dyDescent="0.25">
      <c r="B43" s="519" t="s">
        <v>495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F01B9-D407-43CF-9E38-5DC20B0BAD48}">
  <dimension ref="A1:J42"/>
  <sheetViews>
    <sheetView zoomScaleNormal="100" workbookViewId="0">
      <pane xSplit="2" ySplit="6" topLeftCell="C25" activePane="bottomRight" state="frozen"/>
      <selection activeCell="B43" sqref="B43"/>
      <selection pane="topRight" activeCell="B43" sqref="B43"/>
      <selection pane="bottomLeft" activeCell="B43" sqref="B43"/>
      <selection pane="bottomRight" activeCell="D33" sqref="D33"/>
    </sheetView>
  </sheetViews>
  <sheetFormatPr defaultRowHeight="15" x14ac:dyDescent="0.25"/>
  <cols>
    <col min="1" max="1" width="9.85546875" style="1" bestFit="1" customWidth="1"/>
    <col min="2" max="2" width="95.140625" style="24" customWidth="1"/>
    <col min="3" max="7" width="17.5703125" style="1" customWidth="1"/>
    <col min="8" max="8" width="12.85546875" bestFit="1" customWidth="1"/>
    <col min="9" max="9" width="14.5703125" bestFit="1" customWidth="1"/>
    <col min="10" max="10" width="11.140625" bestFit="1" customWidth="1"/>
  </cols>
  <sheetData>
    <row r="1" spans="1:10" x14ac:dyDescent="0.25">
      <c r="A1" s="1" t="s">
        <v>94</v>
      </c>
      <c r="B1" s="1" t="str">
        <f>Info!C2</f>
        <v>სს სილქ ბანკი</v>
      </c>
    </row>
    <row r="2" spans="1:10" x14ac:dyDescent="0.25">
      <c r="A2" s="1" t="s">
        <v>93</v>
      </c>
      <c r="B2" s="114">
        <f>'1. key ratios'!B2</f>
        <v>45565</v>
      </c>
    </row>
    <row r="3" spans="1:10" x14ac:dyDescent="0.25">
      <c r="B3" s="582"/>
    </row>
    <row r="4" spans="1:10" ht="40.5" customHeight="1" thickBot="1" x14ac:dyDescent="0.3">
      <c r="A4" s="1" t="s">
        <v>569</v>
      </c>
      <c r="B4" s="401" t="s">
        <v>10</v>
      </c>
    </row>
    <row r="5" spans="1:10" x14ac:dyDescent="0.25">
      <c r="A5" s="581"/>
      <c r="B5" s="580"/>
      <c r="C5" s="832" t="s">
        <v>568</v>
      </c>
      <c r="D5" s="832"/>
      <c r="E5" s="832"/>
      <c r="F5" s="832"/>
      <c r="G5" s="833" t="s">
        <v>567</v>
      </c>
    </row>
    <row r="6" spans="1:10" x14ac:dyDescent="0.25">
      <c r="A6" s="579"/>
      <c r="B6" s="578"/>
      <c r="C6" s="577" t="s">
        <v>566</v>
      </c>
      <c r="D6" s="577" t="s">
        <v>565</v>
      </c>
      <c r="E6" s="577" t="s">
        <v>564</v>
      </c>
      <c r="F6" s="577" t="s">
        <v>563</v>
      </c>
      <c r="G6" s="834"/>
    </row>
    <row r="7" spans="1:10" x14ac:dyDescent="0.25">
      <c r="A7" s="555"/>
      <c r="B7" s="576" t="s">
        <v>45</v>
      </c>
      <c r="C7" s="575"/>
      <c r="D7" s="575"/>
      <c r="E7" s="575"/>
      <c r="F7" s="575"/>
      <c r="G7" s="574"/>
    </row>
    <row r="8" spans="1:10" x14ac:dyDescent="0.25">
      <c r="A8" s="426">
        <v>1</v>
      </c>
      <c r="B8" s="561" t="s">
        <v>562</v>
      </c>
      <c r="C8" s="119">
        <f>SUM(C9:C10)</f>
        <v>51619324.636120379</v>
      </c>
      <c r="D8" s="119">
        <f>SUM(D9:D10)</f>
        <v>0</v>
      </c>
      <c r="E8" s="119">
        <f>SUM(E9:E10)</f>
        <v>0</v>
      </c>
      <c r="F8" s="119">
        <f>SUM(F9)</f>
        <v>0</v>
      </c>
      <c r="G8" s="560">
        <f>SUM(G9)</f>
        <v>51619324.636120379</v>
      </c>
    </row>
    <row r="9" spans="1:10" x14ac:dyDescent="0.25">
      <c r="A9" s="426">
        <v>2</v>
      </c>
      <c r="B9" s="562" t="s">
        <v>20</v>
      </c>
      <c r="C9" s="119">
        <v>51619324.636120379</v>
      </c>
      <c r="D9" s="119"/>
      <c r="E9" s="119"/>
      <c r="F9" s="119">
        <v>0</v>
      </c>
      <c r="G9" s="560">
        <f>SUM(C9:F9)*1</f>
        <v>51619324.636120379</v>
      </c>
    </row>
    <row r="10" spans="1:10" x14ac:dyDescent="0.25">
      <c r="A10" s="426">
        <v>3</v>
      </c>
      <c r="B10" s="562" t="s">
        <v>561</v>
      </c>
      <c r="C10" s="557"/>
      <c r="D10" s="557"/>
      <c r="E10" s="557"/>
      <c r="F10" s="119">
        <v>21741814.503418557</v>
      </c>
      <c r="G10" s="560">
        <f>SUM(C10:F10)*1</f>
        <v>21741814.503418557</v>
      </c>
    </row>
    <row r="11" spans="1:10" x14ac:dyDescent="0.25">
      <c r="A11" s="426">
        <v>4</v>
      </c>
      <c r="B11" s="561" t="s">
        <v>560</v>
      </c>
      <c r="C11" s="119">
        <f>SUM(C12:C13)</f>
        <v>7789629.29999997</v>
      </c>
      <c r="D11" s="119">
        <f>SUM(D12:D13)</f>
        <v>13538485.830000004</v>
      </c>
      <c r="E11" s="119">
        <f>SUM(E12:E13)</f>
        <v>26228165.02999999</v>
      </c>
      <c r="F11" s="119">
        <f>SUM(F12:F13)</f>
        <v>0</v>
      </c>
      <c r="G11" s="560">
        <f>SUM(G12:G13)</f>
        <v>44100845.445999965</v>
      </c>
    </row>
    <row r="12" spans="1:10" x14ac:dyDescent="0.25">
      <c r="A12" s="426">
        <v>5</v>
      </c>
      <c r="B12" s="562" t="s">
        <v>559</v>
      </c>
      <c r="C12" s="119">
        <v>7052361.2399999695</v>
      </c>
      <c r="D12" s="149">
        <v>13449051.880000005</v>
      </c>
      <c r="E12" s="119">
        <v>24660154.359999992</v>
      </c>
      <c r="F12" s="119">
        <v>0</v>
      </c>
      <c r="G12" s="560">
        <f>SUM(C12:F12)*0.95</f>
        <v>42903489.105999969</v>
      </c>
      <c r="H12" s="135"/>
      <c r="I12" s="573"/>
      <c r="J12" s="135"/>
    </row>
    <row r="13" spans="1:10" x14ac:dyDescent="0.25">
      <c r="A13" s="426">
        <v>6</v>
      </c>
      <c r="B13" s="562" t="s">
        <v>558</v>
      </c>
      <c r="C13" s="119">
        <v>737268.06000000029</v>
      </c>
      <c r="D13" s="149">
        <v>89433.95</v>
      </c>
      <c r="E13" s="119">
        <v>1568010.6699999997</v>
      </c>
      <c r="F13" s="119">
        <v>0</v>
      </c>
      <c r="G13" s="560">
        <f>SUM(C13:F13)/2</f>
        <v>1197356.3399999999</v>
      </c>
      <c r="J13" s="135">
        <f>J11-J12</f>
        <v>0</v>
      </c>
    </row>
    <row r="14" spans="1:10" x14ac:dyDescent="0.25">
      <c r="A14" s="426">
        <v>7</v>
      </c>
      <c r="B14" s="561" t="s">
        <v>557</v>
      </c>
      <c r="C14" s="119">
        <f>SUM(C15:C16)</f>
        <v>16916642.339999996</v>
      </c>
      <c r="D14" s="119">
        <f>SUM(D15:D16)</f>
        <v>1103152.4300000002</v>
      </c>
      <c r="E14" s="119">
        <f>SUM(E15:E16)</f>
        <v>66771121.869999997</v>
      </c>
      <c r="F14" s="119">
        <f>SUM(F15:F16)</f>
        <v>32756.400000000001</v>
      </c>
      <c r="G14" s="560">
        <f>SUM(G15:G16)</f>
        <v>41834644.805</v>
      </c>
      <c r="J14" s="135"/>
    </row>
    <row r="15" spans="1:10" ht="54" x14ac:dyDescent="0.25">
      <c r="A15" s="426">
        <v>8</v>
      </c>
      <c r="B15" s="572" t="s">
        <v>556</v>
      </c>
      <c r="C15" s="119">
        <v>16625411.339999998</v>
      </c>
      <c r="D15" s="571">
        <v>240000</v>
      </c>
      <c r="E15" s="571">
        <v>65728950.349999994</v>
      </c>
      <c r="F15" s="571">
        <v>32756.400000000001</v>
      </c>
      <c r="G15" s="560">
        <f>SUM(C15:F15)/2</f>
        <v>41313559.045000002</v>
      </c>
      <c r="H15" s="139"/>
      <c r="I15" s="139"/>
      <c r="J15" s="135"/>
    </row>
    <row r="16" spans="1:10" ht="27" x14ac:dyDescent="0.25">
      <c r="A16" s="426">
        <v>9</v>
      </c>
      <c r="B16" s="562" t="s">
        <v>555</v>
      </c>
      <c r="C16" s="570">
        <v>291231</v>
      </c>
      <c r="D16" s="119">
        <v>863152.43</v>
      </c>
      <c r="E16" s="119">
        <v>1042171.5200000001</v>
      </c>
      <c r="F16" s="119"/>
      <c r="G16" s="560">
        <f>C16*0+D16*0+E16/2</f>
        <v>521085.76000000007</v>
      </c>
    </row>
    <row r="17" spans="1:9" x14ac:dyDescent="0.25">
      <c r="A17" s="426">
        <v>10</v>
      </c>
      <c r="B17" s="561" t="s">
        <v>554</v>
      </c>
      <c r="C17" s="119"/>
      <c r="D17" s="149"/>
      <c r="E17" s="119"/>
      <c r="F17" s="119"/>
      <c r="G17" s="560"/>
    </row>
    <row r="18" spans="1:9" x14ac:dyDescent="0.25">
      <c r="A18" s="426">
        <v>11</v>
      </c>
      <c r="B18" s="561" t="s">
        <v>114</v>
      </c>
      <c r="C18" s="119">
        <f>SUM(C19:C20)</f>
        <v>4570665.736217753</v>
      </c>
      <c r="D18" s="149">
        <f>SUM(D19:D20)</f>
        <v>240</v>
      </c>
      <c r="E18" s="119">
        <f>SUM(E19:E20)</f>
        <v>0</v>
      </c>
      <c r="F18" s="119">
        <f>SUM(F19:F20)</f>
        <v>0</v>
      </c>
      <c r="G18" s="560">
        <f>SUM(G19:G20)</f>
        <v>0</v>
      </c>
    </row>
    <row r="19" spans="1:9" x14ac:dyDescent="0.25">
      <c r="A19" s="426">
        <v>12</v>
      </c>
      <c r="B19" s="562" t="s">
        <v>553</v>
      </c>
      <c r="C19" s="557"/>
      <c r="D19" s="149">
        <v>240</v>
      </c>
      <c r="E19" s="119"/>
      <c r="F19" s="119"/>
      <c r="G19" s="560">
        <f>D19*0</f>
        <v>0</v>
      </c>
    </row>
    <row r="20" spans="1:9" ht="27" x14ac:dyDescent="0.25">
      <c r="A20" s="426">
        <v>13</v>
      </c>
      <c r="B20" s="562" t="s">
        <v>552</v>
      </c>
      <c r="C20" s="119">
        <v>4570665.736217753</v>
      </c>
      <c r="D20" s="119"/>
      <c r="E20" s="119"/>
      <c r="F20" s="119"/>
      <c r="G20" s="560">
        <f>C20*0</f>
        <v>0</v>
      </c>
    </row>
    <row r="21" spans="1:9" x14ac:dyDescent="0.25">
      <c r="A21" s="559">
        <v>14</v>
      </c>
      <c r="B21" s="558" t="s">
        <v>551</v>
      </c>
      <c r="C21" s="557"/>
      <c r="D21" s="557"/>
      <c r="E21" s="557"/>
      <c r="F21" s="557"/>
      <c r="G21" s="556">
        <f>SUM(G8,G11,G14,G17,G18,G10)</f>
        <v>159296629.3905389</v>
      </c>
      <c r="I21" s="139"/>
    </row>
    <row r="22" spans="1:9" x14ac:dyDescent="0.25">
      <c r="A22" s="569"/>
      <c r="B22" s="568" t="s">
        <v>44</v>
      </c>
      <c r="C22" s="566"/>
      <c r="D22" s="567"/>
      <c r="E22" s="566"/>
      <c r="F22" s="566"/>
      <c r="G22" s="565"/>
    </row>
    <row r="23" spans="1:9" x14ac:dyDescent="0.25">
      <c r="A23" s="426">
        <v>15</v>
      </c>
      <c r="B23" s="561" t="s">
        <v>462</v>
      </c>
      <c r="C23" s="138">
        <v>70484269.141024873</v>
      </c>
      <c r="D23" s="138"/>
      <c r="E23" s="138"/>
      <c r="F23" s="138">
        <v>73009.75</v>
      </c>
      <c r="G23" s="564">
        <v>3113905.3620512486</v>
      </c>
    </row>
    <row r="24" spans="1:9" x14ac:dyDescent="0.25">
      <c r="A24" s="426">
        <v>16</v>
      </c>
      <c r="B24" s="561" t="s">
        <v>550</v>
      </c>
      <c r="C24" s="119">
        <f>SUM(C25:C27,C29,C31)</f>
        <v>0</v>
      </c>
      <c r="D24" s="149">
        <f>SUM(D25:D27,D29,D31)</f>
        <v>7850824.5075462135</v>
      </c>
      <c r="E24" s="119">
        <f>SUM(E25:E27,E29,E31)</f>
        <v>9738437.0768396668</v>
      </c>
      <c r="F24" s="119">
        <f>SUM(F25:F27,F29,F31)</f>
        <v>81638131.456047043</v>
      </c>
      <c r="G24" s="560">
        <f>SUM(G25:G27,G29,G31)</f>
        <v>78290964.145402238</v>
      </c>
    </row>
    <row r="25" spans="1:9" ht="27" x14ac:dyDescent="0.25">
      <c r="A25" s="426">
        <v>17</v>
      </c>
      <c r="B25" s="562" t="s">
        <v>549</v>
      </c>
      <c r="C25" s="119"/>
      <c r="D25" s="149"/>
      <c r="E25" s="119"/>
      <c r="F25" s="119"/>
      <c r="G25" s="560"/>
    </row>
    <row r="26" spans="1:9" ht="27" x14ac:dyDescent="0.25">
      <c r="A26" s="426">
        <v>18</v>
      </c>
      <c r="B26" s="562" t="s">
        <v>548</v>
      </c>
      <c r="C26" s="119"/>
      <c r="D26" s="149">
        <v>387047.6100000001</v>
      </c>
      <c r="E26" s="119"/>
      <c r="F26" s="119"/>
      <c r="G26" s="560">
        <f>D26*0.15</f>
        <v>58057.141500000012</v>
      </c>
    </row>
    <row r="27" spans="1:9" x14ac:dyDescent="0.25">
      <c r="A27" s="426">
        <v>19</v>
      </c>
      <c r="B27" s="562" t="s">
        <v>547</v>
      </c>
      <c r="C27" s="119"/>
      <c r="D27" s="138">
        <v>7463776.8975462131</v>
      </c>
      <c r="E27" s="138">
        <v>9738437.0768396668</v>
      </c>
      <c r="F27" s="138">
        <v>78581330.312996775</v>
      </c>
      <c r="G27" s="560">
        <v>75634626.032309502</v>
      </c>
    </row>
    <row r="28" spans="1:9" x14ac:dyDescent="0.25">
      <c r="A28" s="426">
        <v>20</v>
      </c>
      <c r="B28" s="563" t="s">
        <v>545</v>
      </c>
      <c r="C28" s="119"/>
      <c r="E28" s="119"/>
      <c r="F28" s="119"/>
      <c r="G28" s="560"/>
    </row>
    <row r="29" spans="1:9" x14ac:dyDescent="0.25">
      <c r="A29" s="426">
        <v>21</v>
      </c>
      <c r="B29" s="562" t="s">
        <v>546</v>
      </c>
      <c r="C29" s="119"/>
      <c r="D29" s="149"/>
      <c r="E29" s="119"/>
      <c r="F29" s="119"/>
      <c r="G29" s="560"/>
    </row>
    <row r="30" spans="1:9" x14ac:dyDescent="0.25">
      <c r="A30" s="426">
        <v>22</v>
      </c>
      <c r="B30" s="563" t="s">
        <v>545</v>
      </c>
      <c r="C30" s="119"/>
      <c r="D30" s="149"/>
      <c r="E30" s="119"/>
      <c r="F30" s="119"/>
      <c r="G30" s="560"/>
    </row>
    <row r="31" spans="1:9" x14ac:dyDescent="0.25">
      <c r="A31" s="426">
        <v>23</v>
      </c>
      <c r="B31" s="562" t="s">
        <v>544</v>
      </c>
      <c r="C31" s="119"/>
      <c r="D31" s="138">
        <v>0</v>
      </c>
      <c r="E31" s="138"/>
      <c r="F31" s="119">
        <v>3056801.1430502739</v>
      </c>
      <c r="G31" s="560">
        <f>E31*0.5+F31*0.85</f>
        <v>2598280.9715927327</v>
      </c>
    </row>
    <row r="32" spans="1:9" x14ac:dyDescent="0.25">
      <c r="A32" s="426">
        <v>24</v>
      </c>
      <c r="B32" s="561" t="s">
        <v>543</v>
      </c>
      <c r="C32" s="119"/>
      <c r="D32" s="149"/>
      <c r="E32" s="119"/>
      <c r="F32" s="119"/>
      <c r="G32" s="560"/>
    </row>
    <row r="33" spans="1:7" x14ac:dyDescent="0.25">
      <c r="A33" s="426">
        <v>25</v>
      </c>
      <c r="B33" s="561" t="s">
        <v>132</v>
      </c>
      <c r="C33" s="119">
        <f>SUM(C34:C35)</f>
        <v>12551213.662177248</v>
      </c>
      <c r="D33" s="119">
        <f>SUM(D34:D35)</f>
        <v>11011074.044506913</v>
      </c>
      <c r="E33" s="119">
        <f>SUM(E34:E35)</f>
        <v>0</v>
      </c>
      <c r="F33" s="119">
        <f>SUM(F34:F35)</f>
        <v>16965038.346502475</v>
      </c>
      <c r="G33" s="560">
        <f>SUM(G34:G35)</f>
        <v>35409685.815207399</v>
      </c>
    </row>
    <row r="34" spans="1:7" x14ac:dyDescent="0.25">
      <c r="A34" s="426">
        <v>26</v>
      </c>
      <c r="B34" s="562" t="s">
        <v>542</v>
      </c>
      <c r="C34" s="557"/>
      <c r="D34" s="149">
        <v>775793.56854843523</v>
      </c>
      <c r="E34" s="119"/>
      <c r="F34" s="119"/>
      <c r="G34" s="560">
        <f>D34*1</f>
        <v>775793.56854843523</v>
      </c>
    </row>
    <row r="35" spans="1:7" x14ac:dyDescent="0.25">
      <c r="A35" s="426">
        <v>27</v>
      </c>
      <c r="B35" s="562" t="s">
        <v>541</v>
      </c>
      <c r="C35" s="119">
        <f>'2. SOFP'!E25-'2. SOFP'!C64-'2. SOFP'!C29</f>
        <v>12551213.662177248</v>
      </c>
      <c r="D35" s="149">
        <v>10235280.475958478</v>
      </c>
      <c r="E35" s="119"/>
      <c r="F35" s="119">
        <v>16965038.346502475</v>
      </c>
      <c r="G35" s="560">
        <f>C35+D35*0.5+F35</f>
        <v>34633892.246658966</v>
      </c>
    </row>
    <row r="36" spans="1:7" x14ac:dyDescent="0.25">
      <c r="A36" s="426">
        <v>28</v>
      </c>
      <c r="B36" s="561" t="s">
        <v>540</v>
      </c>
      <c r="C36" s="119"/>
      <c r="D36" s="149">
        <v>3998719.94</v>
      </c>
      <c r="E36" s="119">
        <v>9163615.75</v>
      </c>
      <c r="F36" s="119">
        <v>277297</v>
      </c>
      <c r="G36" s="560">
        <f>D36*0.05+E36*0.1+F36*0.15</f>
        <v>1157892.1220000002</v>
      </c>
    </row>
    <row r="37" spans="1:7" x14ac:dyDescent="0.25">
      <c r="A37" s="559">
        <v>29</v>
      </c>
      <c r="B37" s="558" t="s">
        <v>539</v>
      </c>
      <c r="C37" s="557"/>
      <c r="D37" s="557"/>
      <c r="E37" s="557"/>
      <c r="F37" s="557"/>
      <c r="G37" s="556">
        <f>SUM(G23:G24,G32:G33,G36)</f>
        <v>117972447.44466089</v>
      </c>
    </row>
    <row r="38" spans="1:7" x14ac:dyDescent="0.25">
      <c r="A38" s="555"/>
      <c r="B38" s="554"/>
      <c r="C38" s="553"/>
      <c r="D38" s="553"/>
      <c r="E38" s="553"/>
      <c r="F38" s="553"/>
      <c r="G38" s="552"/>
    </row>
    <row r="39" spans="1:7" ht="15.75" thickBot="1" x14ac:dyDescent="0.3">
      <c r="A39" s="551">
        <v>30</v>
      </c>
      <c r="B39" s="550" t="s">
        <v>10</v>
      </c>
      <c r="C39" s="549"/>
      <c r="D39" s="444"/>
      <c r="E39" s="444"/>
      <c r="F39" s="443"/>
      <c r="G39" s="548">
        <f>IFERROR(G21/G37,0)</f>
        <v>1.3502867223744135</v>
      </c>
    </row>
    <row r="41" spans="1:7" x14ac:dyDescent="0.25">
      <c r="D41" s="547"/>
      <c r="G41" s="712"/>
    </row>
    <row r="42" spans="1:7" ht="40.5" x14ac:dyDescent="0.25">
      <c r="B42" s="24" t="s">
        <v>538</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6525-73F8-48C6-9381-6B12C60B4158}">
  <dimension ref="A1:V51"/>
  <sheetViews>
    <sheetView tabSelected="1" zoomScaleNormal="100" workbookViewId="0">
      <pane xSplit="1" ySplit="5" topLeftCell="C37" activePane="bottomRight" state="frozen"/>
      <selection activeCell="B39" sqref="B39"/>
      <selection pane="topRight" activeCell="B39" sqref="B39"/>
      <selection pane="bottomLeft" activeCell="B39" sqref="B39"/>
      <selection pane="bottomRight" activeCell="D51" sqref="D51"/>
    </sheetView>
  </sheetViews>
  <sheetFormatPr defaultRowHeight="15.75" x14ac:dyDescent="0.3"/>
  <cols>
    <col min="1" max="1" width="9.5703125" style="22" bestFit="1" customWidth="1"/>
    <col min="2" max="2" width="55.28515625" style="21" customWidth="1"/>
    <col min="3" max="3" width="12.7109375" style="21" customWidth="1"/>
    <col min="4" max="6" width="12.7109375" style="1" customWidth="1"/>
    <col min="7" max="7" width="15" style="1" customWidth="1"/>
    <col min="8" max="8" width="15.42578125" customWidth="1"/>
    <col min="9" max="12" width="14.85546875" customWidth="1"/>
    <col min="13" max="13" width="6.7109375" customWidth="1"/>
    <col min="14" max="22" width="0" hidden="1" customWidth="1"/>
  </cols>
  <sheetData>
    <row r="1" spans="1:22" x14ac:dyDescent="0.3">
      <c r="A1" s="113" t="s">
        <v>94</v>
      </c>
      <c r="B1" s="115" t="str">
        <f>Info!C2</f>
        <v>სს სილქ ბანკი</v>
      </c>
    </row>
    <row r="2" spans="1:22" x14ac:dyDescent="0.3">
      <c r="A2" s="113" t="s">
        <v>93</v>
      </c>
      <c r="B2" s="114">
        <v>45565</v>
      </c>
    </row>
    <row r="3" spans="1:22" ht="16.5" thickBot="1" x14ac:dyDescent="0.35">
      <c r="A3" s="113"/>
    </row>
    <row r="4" spans="1:22" ht="40.5" customHeight="1" thickBot="1" x14ac:dyDescent="0.35">
      <c r="A4" s="112" t="s">
        <v>92</v>
      </c>
      <c r="B4" s="111" t="s">
        <v>28</v>
      </c>
      <c r="C4" s="769" t="s">
        <v>90</v>
      </c>
      <c r="D4" s="770"/>
      <c r="E4" s="770"/>
      <c r="F4" s="770"/>
      <c r="G4" s="771"/>
      <c r="I4" s="775" t="s">
        <v>91</v>
      </c>
      <c r="J4" s="776"/>
      <c r="K4" s="776"/>
      <c r="L4" s="777"/>
    </row>
    <row r="5" spans="1:22" ht="15" x14ac:dyDescent="0.25">
      <c r="A5" s="110" t="s">
        <v>89</v>
      </c>
      <c r="B5" s="109"/>
      <c r="C5" s="108" t="str">
        <f>INT((MONTH($B$2))/3)&amp;"Q"&amp;"-"&amp;YEAR($B$2)</f>
        <v>3Q-2024</v>
      </c>
      <c r="D5" s="108" t="str">
        <f>IF(INT(MONTH($B$2))=3, "4"&amp;"Q"&amp;"-"&amp;YEAR($B$2)-1, IF(INT(MONTH($B$2))=6, "1"&amp;"Q"&amp;"-"&amp;YEAR($B$2), IF(INT(MONTH($B$2))=9, "2"&amp;"Q"&amp;"-"&amp;YEAR($B$2),IF(INT(MONTH($B$2))=12, "3"&amp;"Q"&amp;"-"&amp;YEAR($B$2), 0))))</f>
        <v>2Q-2024</v>
      </c>
      <c r="E5" s="108" t="str">
        <f>IF(INT(MONTH($B$2))=3, "3"&amp;"Q"&amp;"-"&amp;YEAR($B$2)-1, IF(INT(MONTH($B$2))=6, "4"&amp;"Q"&amp;"-"&amp;YEAR($B$2)-1, IF(INT(MONTH($B$2))=9, "1"&amp;"Q"&amp;"-"&amp;YEAR($B$2),IF(INT(MONTH($B$2))=12, "2"&amp;"Q"&amp;"-"&amp;YEAR($B$2), 0))))</f>
        <v>1Q-2024</v>
      </c>
      <c r="F5" s="108" t="str">
        <f>IF(INT(MONTH($B$2))=3, "2"&amp;"Q"&amp;"-"&amp;YEAR($B$2)-1, IF(INT(MONTH($B$2))=6, "3"&amp;"Q"&amp;"-"&amp;YEAR($B$2)-1, IF(INT(MONTH($B$2))=9, "4"&amp;"Q"&amp;"-"&amp;YEAR($B$2)-1,IF(INT(MONTH($B$2))=12, "1"&amp;"Q"&amp;"-"&amp;YEAR($B$2), 0))))</f>
        <v>4Q-2023</v>
      </c>
      <c r="G5" s="107" t="str">
        <f>IF(INT(MONTH($B$2))=3, "1"&amp;"Q"&amp;"-"&amp;YEAR($B$2)-1, IF(INT(MONTH($B$2))=6, "2"&amp;"Q"&amp;"-"&amp;YEAR($B$2)-1, IF(INT(MONTH($B$2))=9, "3"&amp;"Q"&amp;"-"&amp;YEAR($B$2)-1,IF(INT(MONTH($B$2))=12, "4"&amp;"Q"&amp;"-"&amp;YEAR($B$2)-1, 0))))</f>
        <v>3Q-2023</v>
      </c>
      <c r="I5" s="106" t="s">
        <v>88</v>
      </c>
      <c r="J5" s="105" t="s">
        <v>87</v>
      </c>
      <c r="K5" s="106" t="s">
        <v>86</v>
      </c>
      <c r="L5" s="105" t="s">
        <v>85</v>
      </c>
      <c r="N5" t="s">
        <v>84</v>
      </c>
      <c r="O5" t="s">
        <v>83</v>
      </c>
      <c r="P5" t="s">
        <v>82</v>
      </c>
      <c r="Q5" t="s">
        <v>81</v>
      </c>
    </row>
    <row r="6" spans="1:22" ht="15" x14ac:dyDescent="0.25">
      <c r="A6" s="72"/>
      <c r="B6" s="48" t="s">
        <v>80</v>
      </c>
      <c r="C6" s="104"/>
      <c r="D6" s="94"/>
      <c r="E6" s="94"/>
      <c r="F6" s="94"/>
      <c r="G6" s="93"/>
      <c r="I6" s="778"/>
      <c r="J6" s="779"/>
      <c r="K6" s="779"/>
      <c r="L6" s="780"/>
    </row>
    <row r="7" spans="1:22" ht="15" x14ac:dyDescent="0.25">
      <c r="A7" s="72"/>
      <c r="B7" s="92" t="s">
        <v>79</v>
      </c>
      <c r="C7" s="103"/>
      <c r="D7" s="88"/>
      <c r="E7" s="88"/>
      <c r="F7" s="88"/>
      <c r="G7" s="87"/>
      <c r="I7" s="781"/>
      <c r="J7" s="782"/>
      <c r="K7" s="782"/>
      <c r="L7" s="783"/>
    </row>
    <row r="8" spans="1:22" ht="15" x14ac:dyDescent="0.25">
      <c r="A8" s="85">
        <v>1</v>
      </c>
      <c r="B8" s="84" t="s">
        <v>78</v>
      </c>
      <c r="C8" s="42">
        <f>'9. Capital'!C29</f>
        <v>51619324.636120379</v>
      </c>
      <c r="D8" s="99">
        <v>53861308.084424809</v>
      </c>
      <c r="E8" s="99">
        <v>52964687.190789811</v>
      </c>
      <c r="F8" s="99">
        <v>52917483.969116479</v>
      </c>
      <c r="G8" s="98">
        <v>47232568.251399003</v>
      </c>
      <c r="I8" s="100">
        <v>48511184.540000007</v>
      </c>
      <c r="J8" s="99">
        <v>47033072.099999994</v>
      </c>
      <c r="K8" s="99">
        <v>47669109.719999999</v>
      </c>
      <c r="L8" s="98">
        <v>48782730.109999999</v>
      </c>
      <c r="N8">
        <v>48511184.540000007</v>
      </c>
      <c r="O8">
        <v>47033072.099999994</v>
      </c>
      <c r="P8">
        <v>47669109.719999999</v>
      </c>
      <c r="Q8">
        <v>48782730.109999999</v>
      </c>
      <c r="S8" t="b">
        <f t="shared" ref="S8:S48" si="0">I8=N8</f>
        <v>1</v>
      </c>
      <c r="T8" t="b">
        <f t="shared" ref="T8:T48" si="1">J8=O8</f>
        <v>1</v>
      </c>
      <c r="U8" t="b">
        <f t="shared" ref="U8:U48" si="2">K8=P8</f>
        <v>1</v>
      </c>
      <c r="V8" t="b">
        <f t="shared" ref="V8:V48" si="3">L8=Q8</f>
        <v>1</v>
      </c>
    </row>
    <row r="9" spans="1:22" ht="15" x14ac:dyDescent="0.25">
      <c r="A9" s="85">
        <v>2</v>
      </c>
      <c r="B9" s="84" t="s">
        <v>77</v>
      </c>
      <c r="C9" s="42">
        <f>'9. Capital'!C29</f>
        <v>51619324.636120379</v>
      </c>
      <c r="D9" s="99">
        <v>53861308.084424809</v>
      </c>
      <c r="E9" s="99">
        <v>52964687.190789811</v>
      </c>
      <c r="F9" s="99">
        <v>52917483.969116479</v>
      </c>
      <c r="G9" s="98">
        <v>47232568.251399003</v>
      </c>
      <c r="I9" s="100">
        <v>48511184.540000007</v>
      </c>
      <c r="J9" s="99">
        <v>47033072.099999994</v>
      </c>
      <c r="K9" s="99">
        <v>47669109.719999999</v>
      </c>
      <c r="L9" s="98">
        <v>48782730.109999999</v>
      </c>
      <c r="N9">
        <v>48511184.540000007</v>
      </c>
      <c r="O9">
        <v>47033072.099999994</v>
      </c>
      <c r="P9">
        <v>47669109.719999999</v>
      </c>
      <c r="Q9">
        <v>48782730.109999999</v>
      </c>
      <c r="S9" t="b">
        <f t="shared" si="0"/>
        <v>1</v>
      </c>
      <c r="T9" t="b">
        <f t="shared" si="1"/>
        <v>1</v>
      </c>
      <c r="U9" t="b">
        <f t="shared" si="2"/>
        <v>1</v>
      </c>
      <c r="V9" t="b">
        <f t="shared" si="3"/>
        <v>1</v>
      </c>
    </row>
    <row r="10" spans="1:22" ht="15" x14ac:dyDescent="0.25">
      <c r="A10" s="85">
        <v>3</v>
      </c>
      <c r="B10" s="84" t="s">
        <v>20</v>
      </c>
      <c r="C10" s="42">
        <f>'9. Capital'!C29+'9. Capital'!C44</f>
        <v>51619324.636120379</v>
      </c>
      <c r="D10" s="99">
        <v>53861308.084424809</v>
      </c>
      <c r="E10" s="99">
        <v>56270937.190789811</v>
      </c>
      <c r="F10" s="99">
        <v>55792483.969116479</v>
      </c>
      <c r="G10" s="98">
        <v>50107568.251399003</v>
      </c>
      <c r="H10" s="102"/>
      <c r="I10" s="100">
        <v>51806334.150000006</v>
      </c>
      <c r="J10" s="99">
        <v>50425926.109999992</v>
      </c>
      <c r="K10" s="99">
        <v>50544809.549999997</v>
      </c>
      <c r="L10" s="98">
        <v>51647000.859999999</v>
      </c>
      <c r="N10">
        <v>51806334.150000006</v>
      </c>
      <c r="O10">
        <v>50425926.109999992</v>
      </c>
      <c r="P10">
        <v>50544809.549999997</v>
      </c>
      <c r="Q10">
        <v>51647000.859999999</v>
      </c>
      <c r="S10" t="b">
        <f t="shared" si="0"/>
        <v>1</v>
      </c>
      <c r="T10" t="b">
        <f t="shared" si="1"/>
        <v>1</v>
      </c>
      <c r="U10" t="b">
        <f t="shared" si="2"/>
        <v>1</v>
      </c>
      <c r="V10" t="b">
        <f t="shared" si="3"/>
        <v>1</v>
      </c>
    </row>
    <row r="11" spans="1:22" ht="15" x14ac:dyDescent="0.25">
      <c r="A11" s="85">
        <v>4</v>
      </c>
      <c r="B11" s="84" t="s">
        <v>69</v>
      </c>
      <c r="C11" s="42">
        <v>28069938.316827785</v>
      </c>
      <c r="D11" s="99">
        <v>25750274.421714228</v>
      </c>
      <c r="E11" s="99">
        <v>21454146.996470381</v>
      </c>
      <c r="F11" s="99">
        <v>19566432.633775767</v>
      </c>
      <c r="G11" s="98">
        <v>13538236.495725883</v>
      </c>
      <c r="I11" s="100">
        <v>6435500.856027049</v>
      </c>
      <c r="J11" s="99">
        <v>7730929.6487218384</v>
      </c>
      <c r="K11" s="99">
        <v>5206706.6113385735</v>
      </c>
      <c r="L11" s="98">
        <v>6735696.2838718379</v>
      </c>
      <c r="N11">
        <v>6435500.856027049</v>
      </c>
      <c r="O11">
        <v>7730929.6487218384</v>
      </c>
      <c r="P11">
        <v>5206706.6113385735</v>
      </c>
      <c r="Q11">
        <v>6735696.2838718379</v>
      </c>
      <c r="S11" t="b">
        <f t="shared" si="0"/>
        <v>1</v>
      </c>
      <c r="T11" t="b">
        <f t="shared" si="1"/>
        <v>1</v>
      </c>
      <c r="U11" t="b">
        <f t="shared" si="2"/>
        <v>1</v>
      </c>
      <c r="V11" t="b">
        <f t="shared" si="3"/>
        <v>1</v>
      </c>
    </row>
    <row r="12" spans="1:22" ht="15" x14ac:dyDescent="0.25">
      <c r="A12" s="85">
        <v>5</v>
      </c>
      <c r="B12" s="84" t="s">
        <v>68</v>
      </c>
      <c r="C12" s="42">
        <v>34601075.01311706</v>
      </c>
      <c r="D12" s="99">
        <v>31650794.439727508</v>
      </c>
      <c r="E12" s="99">
        <v>26270981.806814201</v>
      </c>
      <c r="F12" s="99">
        <v>24679557.21480158</v>
      </c>
      <c r="G12" s="98">
        <v>17037392.591574989</v>
      </c>
      <c r="I12" s="100">
        <v>8581167.2055233996</v>
      </c>
      <c r="J12" s="99">
        <v>10308419.729979118</v>
      </c>
      <c r="K12" s="99">
        <v>6942485.309496766</v>
      </c>
      <c r="L12" s="98">
        <v>8981159.282382451</v>
      </c>
      <c r="N12">
        <v>8581167.2055233996</v>
      </c>
      <c r="O12">
        <v>10308419.729979118</v>
      </c>
      <c r="P12">
        <v>6942485.309496766</v>
      </c>
      <c r="Q12">
        <v>8981159.282382451</v>
      </c>
      <c r="S12" t="b">
        <f t="shared" si="0"/>
        <v>1</v>
      </c>
      <c r="T12" t="b">
        <f t="shared" si="1"/>
        <v>1</v>
      </c>
      <c r="U12" t="b">
        <f t="shared" si="2"/>
        <v>1</v>
      </c>
      <c r="V12" t="b">
        <f t="shared" si="3"/>
        <v>1</v>
      </c>
    </row>
    <row r="13" spans="1:22" ht="15" x14ac:dyDescent="0.25">
      <c r="A13" s="85">
        <v>6</v>
      </c>
      <c r="B13" s="84" t="s">
        <v>67</v>
      </c>
      <c r="C13" s="42">
        <v>43239191.929958776</v>
      </c>
      <c r="D13" s="99">
        <v>39455771.82032492</v>
      </c>
      <c r="E13" s="99">
        <v>32642275.900241766</v>
      </c>
      <c r="F13" s="99">
        <v>31439111.162439074</v>
      </c>
      <c r="G13" s="98">
        <v>21664886.055433322</v>
      </c>
      <c r="I13" s="100">
        <v>13119687.070131311</v>
      </c>
      <c r="J13" s="99">
        <v>15779925.709801527</v>
      </c>
      <c r="K13" s="99">
        <v>12782659.366280219</v>
      </c>
      <c r="L13" s="98">
        <v>15671110.145961303</v>
      </c>
      <c r="N13">
        <v>13119687.070131311</v>
      </c>
      <c r="O13">
        <v>15779925.709801527</v>
      </c>
      <c r="P13">
        <v>12782659.366280219</v>
      </c>
      <c r="Q13">
        <v>15671110.145961303</v>
      </c>
      <c r="S13" t="b">
        <f t="shared" si="0"/>
        <v>1</v>
      </c>
      <c r="T13" t="b">
        <f t="shared" si="1"/>
        <v>1</v>
      </c>
      <c r="U13" t="b">
        <f t="shared" si="2"/>
        <v>1</v>
      </c>
      <c r="V13" t="b">
        <f t="shared" si="3"/>
        <v>1</v>
      </c>
    </row>
    <row r="14" spans="1:22" ht="27" x14ac:dyDescent="0.25">
      <c r="A14" s="72"/>
      <c r="B14" s="48" t="s">
        <v>76</v>
      </c>
      <c r="C14" s="47"/>
      <c r="D14" s="46"/>
      <c r="E14" s="46"/>
      <c r="F14" s="46"/>
      <c r="G14" s="45"/>
      <c r="I14" s="772"/>
      <c r="J14" s="773"/>
      <c r="K14" s="773"/>
      <c r="L14" s="774"/>
      <c r="S14" t="b">
        <f t="shared" si="0"/>
        <v>1</v>
      </c>
      <c r="T14" t="b">
        <f t="shared" si="1"/>
        <v>1</v>
      </c>
      <c r="U14" t="b">
        <f t="shared" si="2"/>
        <v>1</v>
      </c>
      <c r="V14" t="b">
        <f t="shared" si="3"/>
        <v>1</v>
      </c>
    </row>
    <row r="15" spans="1:22" ht="21.95" customHeight="1" x14ac:dyDescent="0.25">
      <c r="A15" s="85">
        <v>7</v>
      </c>
      <c r="B15" s="84" t="s">
        <v>75</v>
      </c>
      <c r="C15" s="101">
        <v>169160802.55217206</v>
      </c>
      <c r="D15" s="99">
        <v>156313956.20372993</v>
      </c>
      <c r="E15" s="99">
        <v>126743503.30563916</v>
      </c>
      <c r="F15" s="99">
        <v>120682095.89343537</v>
      </c>
      <c r="G15" s="99">
        <v>88694683.416122541</v>
      </c>
      <c r="I15" s="100">
        <v>57240173.042884499</v>
      </c>
      <c r="J15" s="99">
        <v>68112948.195683539</v>
      </c>
      <c r="K15" s="99">
        <v>53853117.125751503</v>
      </c>
      <c r="L15" s="98">
        <v>71891560.79072018</v>
      </c>
      <c r="N15">
        <v>57240173.042884499</v>
      </c>
      <c r="O15">
        <v>68112948.195683539</v>
      </c>
      <c r="P15">
        <v>53853117.125751503</v>
      </c>
      <c r="Q15">
        <v>71891560.79072018</v>
      </c>
      <c r="S15" t="b">
        <f t="shared" si="0"/>
        <v>1</v>
      </c>
      <c r="T15" t="b">
        <f t="shared" si="1"/>
        <v>1</v>
      </c>
      <c r="U15" t="b">
        <f t="shared" si="2"/>
        <v>1</v>
      </c>
      <c r="V15" t="b">
        <f t="shared" si="3"/>
        <v>1</v>
      </c>
    </row>
    <row r="16" spans="1:22" ht="15" x14ac:dyDescent="0.25">
      <c r="A16" s="72"/>
      <c r="B16" s="48" t="s">
        <v>74</v>
      </c>
      <c r="C16" s="97"/>
      <c r="D16" s="96"/>
      <c r="E16" s="96"/>
      <c r="F16" s="96"/>
      <c r="G16" s="95"/>
      <c r="I16" s="778"/>
      <c r="J16" s="779"/>
      <c r="K16" s="779"/>
      <c r="L16" s="780"/>
      <c r="S16" t="b">
        <f t="shared" si="0"/>
        <v>1</v>
      </c>
      <c r="T16" t="b">
        <f t="shared" si="1"/>
        <v>1</v>
      </c>
      <c r="U16" t="b">
        <f t="shared" si="2"/>
        <v>1</v>
      </c>
      <c r="V16" t="b">
        <f t="shared" si="3"/>
        <v>1</v>
      </c>
    </row>
    <row r="17" spans="1:22" ht="15" x14ac:dyDescent="0.25">
      <c r="A17" s="85"/>
      <c r="B17" s="92" t="s">
        <v>73</v>
      </c>
      <c r="C17" s="91"/>
      <c r="D17" s="90"/>
      <c r="E17" s="90"/>
      <c r="F17" s="90"/>
      <c r="G17" s="89"/>
      <c r="I17" s="781"/>
      <c r="J17" s="782"/>
      <c r="K17" s="782"/>
      <c r="L17" s="783"/>
      <c r="S17" t="b">
        <f t="shared" si="0"/>
        <v>1</v>
      </c>
      <c r="T17" t="b">
        <f t="shared" si="1"/>
        <v>1</v>
      </c>
      <c r="U17" t="b">
        <f t="shared" si="2"/>
        <v>1</v>
      </c>
      <c r="V17" t="b">
        <f t="shared" si="3"/>
        <v>1</v>
      </c>
    </row>
    <row r="18" spans="1:22" ht="15" x14ac:dyDescent="0.25">
      <c r="A18" s="85">
        <v>8</v>
      </c>
      <c r="B18" s="84" t="s">
        <v>72</v>
      </c>
      <c r="C18" s="83">
        <f>C8/C$15</f>
        <v>0.30514944276290074</v>
      </c>
      <c r="D18" s="83">
        <v>0.3445713319047809</v>
      </c>
      <c r="E18" s="83">
        <v>0.41788877385743894</v>
      </c>
      <c r="F18" s="83">
        <v>0.43848661706906084</v>
      </c>
      <c r="G18" s="83">
        <v>0.53252987024939613</v>
      </c>
      <c r="I18" s="81">
        <v>0.84750240890528561</v>
      </c>
      <c r="J18" s="80">
        <v>0.6905158761426301</v>
      </c>
      <c r="K18" s="80">
        <v>0.88516899790013392</v>
      </c>
      <c r="L18" s="79">
        <v>0.67855989734329025</v>
      </c>
      <c r="N18">
        <v>0.84750240890528561</v>
      </c>
      <c r="O18">
        <v>0.6905158761426301</v>
      </c>
      <c r="P18">
        <v>0.88516899790013392</v>
      </c>
      <c r="Q18">
        <v>0.67855989734329025</v>
      </c>
      <c r="S18" t="b">
        <f t="shared" si="0"/>
        <v>1</v>
      </c>
      <c r="T18" t="b">
        <f t="shared" si="1"/>
        <v>1</v>
      </c>
      <c r="U18" t="b">
        <f t="shared" si="2"/>
        <v>1</v>
      </c>
      <c r="V18" t="b">
        <f t="shared" si="3"/>
        <v>1</v>
      </c>
    </row>
    <row r="19" spans="1:22" ht="15" customHeight="1" x14ac:dyDescent="0.25">
      <c r="A19" s="85">
        <v>9</v>
      </c>
      <c r="B19" s="84" t="s">
        <v>71</v>
      </c>
      <c r="C19" s="83">
        <f>C9/C$15</f>
        <v>0.30514944276290074</v>
      </c>
      <c r="D19" s="83">
        <v>0.3445713319047809</v>
      </c>
      <c r="E19" s="83">
        <v>0.41788877385743894</v>
      </c>
      <c r="F19" s="83">
        <v>0.43848661706906084</v>
      </c>
      <c r="G19" s="83">
        <v>0.53252987024939613</v>
      </c>
      <c r="I19" s="81">
        <v>0.84750240890528561</v>
      </c>
      <c r="J19" s="80">
        <v>0.6905158761426301</v>
      </c>
      <c r="K19" s="80">
        <v>0.88516899790013392</v>
      </c>
      <c r="L19" s="79">
        <v>0.67855989734329025</v>
      </c>
      <c r="N19">
        <v>0.84750240890528561</v>
      </c>
      <c r="O19">
        <v>0.6905158761426301</v>
      </c>
      <c r="P19">
        <v>0.88516899790013392</v>
      </c>
      <c r="Q19">
        <v>0.67855989734329025</v>
      </c>
      <c r="S19" t="b">
        <f t="shared" si="0"/>
        <v>1</v>
      </c>
      <c r="T19" t="b">
        <f t="shared" si="1"/>
        <v>1</v>
      </c>
      <c r="U19" t="b">
        <f t="shared" si="2"/>
        <v>1</v>
      </c>
      <c r="V19" t="b">
        <f t="shared" si="3"/>
        <v>1</v>
      </c>
    </row>
    <row r="20" spans="1:22" ht="15" x14ac:dyDescent="0.25">
      <c r="A20" s="85">
        <v>10</v>
      </c>
      <c r="B20" s="84" t="s">
        <v>70</v>
      </c>
      <c r="C20" s="83">
        <f>C10/C$15</f>
        <v>0.30514944276290074</v>
      </c>
      <c r="D20" s="83">
        <v>0.3445713319047809</v>
      </c>
      <c r="E20" s="83">
        <v>0.44397492355165286</v>
      </c>
      <c r="F20" s="83">
        <v>0.46230953776591949</v>
      </c>
      <c r="G20" s="83">
        <v>0.56494443997632737</v>
      </c>
      <c r="I20" s="81">
        <v>0.9050694887170686</v>
      </c>
      <c r="J20" s="80">
        <v>0.7403280498904552</v>
      </c>
      <c r="K20" s="80">
        <v>0.93856794643796881</v>
      </c>
      <c r="L20" s="79">
        <v>0.71840144089160796</v>
      </c>
      <c r="N20">
        <v>0.9050694887170686</v>
      </c>
      <c r="O20">
        <v>0.7403280498904552</v>
      </c>
      <c r="P20">
        <v>0.93856794643796881</v>
      </c>
      <c r="Q20">
        <v>0.71840144089160796</v>
      </c>
      <c r="S20" t="b">
        <f t="shared" si="0"/>
        <v>1</v>
      </c>
      <c r="T20" t="b">
        <f t="shared" si="1"/>
        <v>1</v>
      </c>
      <c r="U20" t="b">
        <f t="shared" si="2"/>
        <v>1</v>
      </c>
      <c r="V20" t="b">
        <f t="shared" si="3"/>
        <v>1</v>
      </c>
    </row>
    <row r="21" spans="1:22" ht="15" x14ac:dyDescent="0.25">
      <c r="A21" s="85">
        <v>11</v>
      </c>
      <c r="B21" s="84" t="s">
        <v>69</v>
      </c>
      <c r="C21" s="83">
        <v>0.16593642199214881</v>
      </c>
      <c r="D21" s="82">
        <v>0.16473432729290605</v>
      </c>
      <c r="E21" s="80">
        <v>0.16927216336078527</v>
      </c>
      <c r="F21" s="80">
        <v>0.16213202537560589</v>
      </c>
      <c r="G21" s="80">
        <v>0.15263864725926696</v>
      </c>
      <c r="I21" s="81">
        <v>0.11242979386532521</v>
      </c>
      <c r="J21" s="80">
        <v>0.11350161538319323</v>
      </c>
      <c r="K21" s="80">
        <v>9.6683477006177396E-2</v>
      </c>
      <c r="L21" s="79">
        <v>9.3692447483227914E-2</v>
      </c>
      <c r="N21">
        <v>0.11242979386532521</v>
      </c>
      <c r="O21">
        <v>0.11350161538319323</v>
      </c>
      <c r="P21">
        <v>9.6683477006177396E-2</v>
      </c>
      <c r="Q21">
        <v>9.3692447483227914E-2</v>
      </c>
      <c r="S21" t="b">
        <f t="shared" si="0"/>
        <v>1</v>
      </c>
      <c r="T21" t="b">
        <f t="shared" si="1"/>
        <v>1</v>
      </c>
      <c r="U21" t="b">
        <f t="shared" si="2"/>
        <v>1</v>
      </c>
      <c r="V21" t="b">
        <f t="shared" si="3"/>
        <v>1</v>
      </c>
    </row>
    <row r="22" spans="1:22" ht="15" x14ac:dyDescent="0.25">
      <c r="A22" s="85">
        <v>12</v>
      </c>
      <c r="B22" s="86" t="s">
        <v>68</v>
      </c>
      <c r="C22" s="83">
        <v>0.20454546497227394</v>
      </c>
      <c r="D22" s="82">
        <v>0.20248220445828793</v>
      </c>
      <c r="E22" s="80">
        <v>0.20727675282465807</v>
      </c>
      <c r="F22" s="80">
        <v>0.20450056847367074</v>
      </c>
      <c r="G22" s="80">
        <v>0.19209034786946436</v>
      </c>
      <c r="I22" s="81">
        <v>0.14991511641822544</v>
      </c>
      <c r="J22" s="80">
        <v>0.151343026591123</v>
      </c>
      <c r="K22" s="80">
        <v>0.12891519897140746</v>
      </c>
      <c r="L22" s="79">
        <v>0.12492647514674277</v>
      </c>
      <c r="N22">
        <v>0.14991511641822544</v>
      </c>
      <c r="O22">
        <v>0.151343026591123</v>
      </c>
      <c r="P22">
        <v>0.12891519897140746</v>
      </c>
      <c r="Q22">
        <v>0.12492647514674277</v>
      </c>
      <c r="S22" t="b">
        <f t="shared" si="0"/>
        <v>1</v>
      </c>
      <c r="T22" t="b">
        <f t="shared" si="1"/>
        <v>1</v>
      </c>
      <c r="U22" t="b">
        <f t="shared" si="2"/>
        <v>1</v>
      </c>
      <c r="V22" t="b">
        <f t="shared" si="3"/>
        <v>1</v>
      </c>
    </row>
    <row r="23" spans="1:22" ht="15" x14ac:dyDescent="0.25">
      <c r="A23" s="85">
        <v>13</v>
      </c>
      <c r="B23" s="84" t="s">
        <v>67</v>
      </c>
      <c r="C23" s="83">
        <v>0.25560999520928068</v>
      </c>
      <c r="D23" s="82">
        <v>0.25241362178115889</v>
      </c>
      <c r="E23" s="80">
        <v>0.25754594948764858</v>
      </c>
      <c r="F23" s="80">
        <v>0.26051180939217711</v>
      </c>
      <c r="G23" s="80">
        <v>0.24426363814603991</v>
      </c>
      <c r="I23" s="81">
        <v>0.22920418252932262</v>
      </c>
      <c r="J23" s="80">
        <v>0.23167292163696906</v>
      </c>
      <c r="K23" s="80">
        <v>0.2373615502410315</v>
      </c>
      <c r="L23" s="79">
        <v>0.2179826112216518</v>
      </c>
      <c r="N23">
        <v>0.22920418252932262</v>
      </c>
      <c r="O23">
        <v>0.23167292163696906</v>
      </c>
      <c r="P23">
        <v>0.2373615502410315</v>
      </c>
      <c r="Q23">
        <v>0.2179826112216518</v>
      </c>
      <c r="S23" t="b">
        <f t="shared" si="0"/>
        <v>1</v>
      </c>
      <c r="T23" t="b">
        <f t="shared" si="1"/>
        <v>1</v>
      </c>
      <c r="U23" t="b">
        <f t="shared" si="2"/>
        <v>1</v>
      </c>
      <c r="V23" t="b">
        <f t="shared" si="3"/>
        <v>1</v>
      </c>
    </row>
    <row r="24" spans="1:22" ht="15" x14ac:dyDescent="0.25">
      <c r="A24" s="72"/>
      <c r="B24" s="48" t="s">
        <v>66</v>
      </c>
      <c r="C24" s="47"/>
      <c r="D24" s="46"/>
      <c r="E24" s="46"/>
      <c r="F24" s="46"/>
      <c r="G24" s="45"/>
      <c r="I24" s="772"/>
      <c r="J24" s="773"/>
      <c r="K24" s="773"/>
      <c r="L24" s="774"/>
      <c r="S24" t="b">
        <f t="shared" si="0"/>
        <v>1</v>
      </c>
      <c r="T24" t="b">
        <f t="shared" si="1"/>
        <v>1</v>
      </c>
      <c r="U24" t="b">
        <f t="shared" si="2"/>
        <v>1</v>
      </c>
      <c r="V24" t="b">
        <f t="shared" si="3"/>
        <v>1</v>
      </c>
    </row>
    <row r="25" spans="1:22" ht="15" customHeight="1" x14ac:dyDescent="0.25">
      <c r="A25" s="60">
        <v>14</v>
      </c>
      <c r="B25" s="59" t="s">
        <v>65</v>
      </c>
      <c r="C25" s="68">
        <v>9.2190548726309912E-2</v>
      </c>
      <c r="D25" s="68">
        <v>9.1179294660155133E-2</v>
      </c>
      <c r="E25" s="74">
        <v>9.200315630880207E-2</v>
      </c>
      <c r="F25" s="74">
        <v>7.7535439963021022E-2</v>
      </c>
      <c r="G25" s="76">
        <v>7.2860756946315566E-2</v>
      </c>
      <c r="H25" s="78"/>
      <c r="I25" s="75">
        <v>6.9976078573742315E-2</v>
      </c>
      <c r="J25" s="74">
        <v>8.6712764166882422E-2</v>
      </c>
      <c r="K25" s="74">
        <v>6.8644437943282871E-2</v>
      </c>
      <c r="L25" s="76">
        <v>6.6340453031664887E-2</v>
      </c>
      <c r="N25">
        <v>6.9976078573742315E-2</v>
      </c>
      <c r="O25">
        <v>8.6712764166882422E-2</v>
      </c>
      <c r="P25">
        <v>6.8644437943282871E-2</v>
      </c>
      <c r="Q25">
        <v>6.6340453031664887E-2</v>
      </c>
      <c r="S25" t="b">
        <f t="shared" si="0"/>
        <v>1</v>
      </c>
      <c r="T25" t="b">
        <f t="shared" si="1"/>
        <v>1</v>
      </c>
      <c r="U25" t="b">
        <f t="shared" si="2"/>
        <v>1</v>
      </c>
      <c r="V25" t="b">
        <f t="shared" si="3"/>
        <v>1</v>
      </c>
    </row>
    <row r="26" spans="1:22" ht="15" x14ac:dyDescent="0.25">
      <c r="A26" s="60">
        <v>15</v>
      </c>
      <c r="B26" s="59" t="s">
        <v>64</v>
      </c>
      <c r="C26" s="68">
        <v>6.1005536723784823E-2</v>
      </c>
      <c r="D26" s="77">
        <v>6.0067108507144966E-2</v>
      </c>
      <c r="E26" s="74">
        <v>5.8508787000952918E-2</v>
      </c>
      <c r="F26" s="74">
        <v>4.4284697999869553E-2</v>
      </c>
      <c r="G26" s="76">
        <v>3.7486925624787927E-2</v>
      </c>
      <c r="H26" s="78"/>
      <c r="I26" s="75">
        <v>2.9409129873193305E-2</v>
      </c>
      <c r="J26" s="74">
        <v>3.7733216878770522E-2</v>
      </c>
      <c r="K26" s="74">
        <v>3.1564328779412947E-2</v>
      </c>
      <c r="L26" s="76">
        <v>3.1725445419185233E-2</v>
      </c>
      <c r="N26">
        <v>2.9409129873193305E-2</v>
      </c>
      <c r="O26">
        <v>3.7733216878770522E-2</v>
      </c>
      <c r="P26">
        <v>3.1564328779412947E-2</v>
      </c>
      <c r="Q26">
        <v>3.1725445419185233E-2</v>
      </c>
      <c r="S26" t="b">
        <f t="shared" si="0"/>
        <v>1</v>
      </c>
      <c r="T26" t="b">
        <f t="shared" si="1"/>
        <v>1</v>
      </c>
      <c r="U26" t="b">
        <f t="shared" si="2"/>
        <v>1</v>
      </c>
      <c r="V26" t="b">
        <f t="shared" si="3"/>
        <v>1</v>
      </c>
    </row>
    <row r="27" spans="1:22" ht="15" x14ac:dyDescent="0.25">
      <c r="A27" s="60">
        <v>16</v>
      </c>
      <c r="B27" s="59" t="s">
        <v>63</v>
      </c>
      <c r="C27" s="68">
        <v>-6.3560866351272394E-2</v>
      </c>
      <c r="D27" s="77">
        <v>-6.9029252962158963E-2</v>
      </c>
      <c r="E27" s="74">
        <v>-5.5714462191009409E-2</v>
      </c>
      <c r="F27" s="74">
        <v>-5.0980843798509555E-2</v>
      </c>
      <c r="G27" s="76">
        <v>-4.6088032368245886E-2</v>
      </c>
      <c r="H27" s="78"/>
      <c r="I27" s="75">
        <v>-2.5967160101922751E-2</v>
      </c>
      <c r="J27" s="74">
        <v>-3.3195023967773338E-2</v>
      </c>
      <c r="K27" s="74">
        <v>-2.6266127410361082E-2</v>
      </c>
      <c r="L27" s="76">
        <v>-3.0832339776697228E-2</v>
      </c>
      <c r="N27">
        <v>-2.5967160101922751E-2</v>
      </c>
      <c r="O27">
        <v>-3.3195023967773338E-2</v>
      </c>
      <c r="P27">
        <v>-2.6266127410361082E-2</v>
      </c>
      <c r="Q27">
        <v>-3.0832339776697228E-2</v>
      </c>
      <c r="S27" t="b">
        <f t="shared" si="0"/>
        <v>1</v>
      </c>
      <c r="T27" t="b">
        <f t="shared" si="1"/>
        <v>1</v>
      </c>
      <c r="U27" t="b">
        <f t="shared" si="2"/>
        <v>1</v>
      </c>
      <c r="V27" t="b">
        <f t="shared" si="3"/>
        <v>1</v>
      </c>
    </row>
    <row r="28" spans="1:22" ht="15" x14ac:dyDescent="0.25">
      <c r="A28" s="60">
        <v>17</v>
      </c>
      <c r="B28" s="59" t="s">
        <v>62</v>
      </c>
      <c r="C28" s="68">
        <v>3.11850120025251E-2</v>
      </c>
      <c r="D28" s="77">
        <v>3.1112186153010164E-2</v>
      </c>
      <c r="E28" s="74">
        <v>3.3494369307849152E-2</v>
      </c>
      <c r="F28" s="74">
        <v>3.3250741963151476E-2</v>
      </c>
      <c r="G28" s="76">
        <v>3.5373831321527632E-2</v>
      </c>
      <c r="H28" s="78"/>
      <c r="I28" s="75">
        <v>4.0566948700549006E-2</v>
      </c>
      <c r="J28" s="74">
        <v>4.8979547288111901E-2</v>
      </c>
      <c r="K28" s="74">
        <v>3.7080109163869925E-2</v>
      </c>
      <c r="L28" s="76">
        <v>3.4615007612479654E-2</v>
      </c>
      <c r="N28">
        <v>4.0566948700549006E-2</v>
      </c>
      <c r="O28">
        <v>4.8979547288111901E-2</v>
      </c>
      <c r="P28">
        <v>3.7080109163869925E-2</v>
      </c>
      <c r="Q28">
        <v>3.4615007612479654E-2</v>
      </c>
      <c r="S28" t="b">
        <f t="shared" si="0"/>
        <v>1</v>
      </c>
      <c r="T28" t="b">
        <f t="shared" si="1"/>
        <v>1</v>
      </c>
      <c r="U28" t="b">
        <f t="shared" si="2"/>
        <v>1</v>
      </c>
      <c r="V28" t="b">
        <f t="shared" si="3"/>
        <v>1</v>
      </c>
    </row>
    <row r="29" spans="1:22" ht="15" x14ac:dyDescent="0.25">
      <c r="A29" s="60">
        <v>18</v>
      </c>
      <c r="B29" s="59" t="s">
        <v>61</v>
      </c>
      <c r="C29" s="68">
        <v>-5.9129590823036399E-2</v>
      </c>
      <c r="D29" s="77">
        <v>-4.3385615648181004E-2</v>
      </c>
      <c r="E29" s="74">
        <v>-3.0502503755938781E-2</v>
      </c>
      <c r="F29" s="74">
        <v>-6.0309496137747956E-2</v>
      </c>
      <c r="G29" s="76">
        <v>-5.2010519987636741E-2</v>
      </c>
      <c r="H29" s="78"/>
      <c r="I29" s="75">
        <v>-3.3122255484799017E-2</v>
      </c>
      <c r="J29" s="74">
        <v>-4.8911011129122245E-2</v>
      </c>
      <c r="K29" s="74">
        <v>-4.3456904238065724E-2</v>
      </c>
      <c r="L29" s="76">
        <v>-3.6956771619234767E-2</v>
      </c>
      <c r="N29">
        <v>-3.3122255484799017E-2</v>
      </c>
      <c r="O29">
        <v>-4.8911011129122245E-2</v>
      </c>
      <c r="P29">
        <v>-4.3456904238065724E-2</v>
      </c>
      <c r="Q29">
        <v>-3.6956771619234767E-2</v>
      </c>
      <c r="S29" t="b">
        <f t="shared" si="0"/>
        <v>1</v>
      </c>
      <c r="T29" t="b">
        <f t="shared" si="1"/>
        <v>1</v>
      </c>
      <c r="U29" t="b">
        <f t="shared" si="2"/>
        <v>1</v>
      </c>
      <c r="V29" t="b">
        <f t="shared" si="3"/>
        <v>1</v>
      </c>
    </row>
    <row r="30" spans="1:22" ht="15" x14ac:dyDescent="0.25">
      <c r="A30" s="60">
        <v>19</v>
      </c>
      <c r="B30" s="59" t="s">
        <v>60</v>
      </c>
      <c r="C30" s="68">
        <v>-0.1928928788411256</v>
      </c>
      <c r="D30" s="77">
        <v>-0.13304710985146104</v>
      </c>
      <c r="E30" s="74">
        <v>-9.0847218844899644E-2</v>
      </c>
      <c r="F30" s="74">
        <v>-0.13505280416086754</v>
      </c>
      <c r="G30" s="76">
        <v>-0.10451859967494685</v>
      </c>
      <c r="H30" s="78"/>
      <c r="I30" s="75">
        <v>-5.4955915971710907E-2</v>
      </c>
      <c r="J30" s="74">
        <v>-8.0165581024978935E-2</v>
      </c>
      <c r="K30" s="74">
        <v>-7.1654535872239203E-2</v>
      </c>
      <c r="L30" s="76">
        <v>-6.2810585501920951E-2</v>
      </c>
      <c r="N30">
        <v>-5.4955915971710907E-2</v>
      </c>
      <c r="O30">
        <v>-8.0165581024978935E-2</v>
      </c>
      <c r="P30">
        <v>-7.1654535872239203E-2</v>
      </c>
      <c r="Q30">
        <v>-6.2810585501920951E-2</v>
      </c>
      <c r="S30" t="b">
        <f t="shared" si="0"/>
        <v>1</v>
      </c>
      <c r="T30" t="b">
        <f t="shared" si="1"/>
        <v>1</v>
      </c>
      <c r="U30" t="b">
        <f t="shared" si="2"/>
        <v>1</v>
      </c>
      <c r="V30" t="b">
        <f t="shared" si="3"/>
        <v>1</v>
      </c>
    </row>
    <row r="31" spans="1:22" ht="15" x14ac:dyDescent="0.25">
      <c r="A31" s="72"/>
      <c r="B31" s="48" t="s">
        <v>59</v>
      </c>
      <c r="C31" s="47"/>
      <c r="D31" s="46"/>
      <c r="E31" s="46"/>
      <c r="F31" s="46"/>
      <c r="G31" s="45"/>
      <c r="I31" s="772"/>
      <c r="J31" s="773"/>
      <c r="K31" s="773"/>
      <c r="L31" s="774"/>
      <c r="S31" t="b">
        <f t="shared" si="0"/>
        <v>1</v>
      </c>
      <c r="T31" t="b">
        <f t="shared" si="1"/>
        <v>1</v>
      </c>
      <c r="U31" t="b">
        <f t="shared" si="2"/>
        <v>1</v>
      </c>
      <c r="V31" t="b">
        <f t="shared" si="3"/>
        <v>1</v>
      </c>
    </row>
    <row r="32" spans="1:22" ht="15" x14ac:dyDescent="0.25">
      <c r="A32" s="60">
        <v>20</v>
      </c>
      <c r="B32" s="59" t="s">
        <v>58</v>
      </c>
      <c r="C32" s="50">
        <f>'24. Risk Sector'!F33/'24. Risk Sector'!C33</f>
        <v>7.6898951015918768E-3</v>
      </c>
      <c r="D32" s="77">
        <v>9.4145682470673335E-3</v>
      </c>
      <c r="E32" s="74">
        <v>8.1727174329576796E-3</v>
      </c>
      <c r="F32" s="74">
        <v>2.1832662512139049E-2</v>
      </c>
      <c r="G32" s="76">
        <v>4.0539867266098477E-2</v>
      </c>
      <c r="I32" s="75">
        <v>7.1593592432212444E-2</v>
      </c>
      <c r="J32" s="74">
        <v>9.7700818052230035E-2</v>
      </c>
      <c r="K32" s="74">
        <v>0.1459437829377751</v>
      </c>
      <c r="L32" s="76">
        <v>0.16505744055088239</v>
      </c>
      <c r="N32">
        <v>7.1593592432212444E-2</v>
      </c>
      <c r="O32">
        <v>9.7700818052230035E-2</v>
      </c>
      <c r="P32">
        <v>0.1459437829377751</v>
      </c>
      <c r="Q32">
        <v>0.16505744055088239</v>
      </c>
      <c r="S32" t="b">
        <f t="shared" si="0"/>
        <v>1</v>
      </c>
      <c r="T32" t="b">
        <f t="shared" si="1"/>
        <v>1</v>
      </c>
      <c r="U32" t="b">
        <f t="shared" si="2"/>
        <v>1</v>
      </c>
      <c r="V32" t="b">
        <f t="shared" si="3"/>
        <v>1</v>
      </c>
    </row>
    <row r="33" spans="1:22" ht="15" customHeight="1" x14ac:dyDescent="0.25">
      <c r="A33" s="60">
        <v>21</v>
      </c>
      <c r="B33" s="59" t="s">
        <v>57</v>
      </c>
      <c r="C33" s="50">
        <v>1.8424538170021147E-2</v>
      </c>
      <c r="D33" s="77">
        <v>1.9906552485893944E-2</v>
      </c>
      <c r="E33" s="74">
        <v>1.9452296566206072E-2</v>
      </c>
      <c r="F33" s="74">
        <v>3.0115483956873659E-2</v>
      </c>
      <c r="G33" s="76">
        <v>3.7767339589549247E-2</v>
      </c>
      <c r="I33" s="75">
        <v>4.2022503882801265E-2</v>
      </c>
      <c r="J33" s="74">
        <v>5.0902620948851923E-2</v>
      </c>
      <c r="K33" s="74">
        <v>6.4883518819109212E-2</v>
      </c>
      <c r="L33" s="76">
        <v>6.9545281550102159E-2</v>
      </c>
      <c r="N33">
        <v>4.2022503882801265E-2</v>
      </c>
      <c r="O33">
        <v>5.0902620948851923E-2</v>
      </c>
      <c r="P33">
        <v>6.4883518819109212E-2</v>
      </c>
      <c r="Q33">
        <v>6.9545281550102159E-2</v>
      </c>
      <c r="S33" t="b">
        <f t="shared" si="0"/>
        <v>1</v>
      </c>
      <c r="T33" t="b">
        <f t="shared" si="1"/>
        <v>1</v>
      </c>
      <c r="U33" t="b">
        <f t="shared" si="2"/>
        <v>1</v>
      </c>
      <c r="V33" t="b">
        <f t="shared" si="3"/>
        <v>1</v>
      </c>
    </row>
    <row r="34" spans="1:22" ht="15" x14ac:dyDescent="0.25">
      <c r="A34" s="60">
        <v>22</v>
      </c>
      <c r="B34" s="59" t="s">
        <v>56</v>
      </c>
      <c r="C34" s="50">
        <v>0.44427692728185203</v>
      </c>
      <c r="D34" s="77">
        <v>0.43464052059948921</v>
      </c>
      <c r="E34" s="74">
        <v>0.35357684417304003</v>
      </c>
      <c r="F34" s="74">
        <v>0.31518467966823016</v>
      </c>
      <c r="G34" s="76">
        <v>0.43036893477315696</v>
      </c>
      <c r="I34" s="75">
        <v>0.37000812830572832</v>
      </c>
      <c r="J34" s="74">
        <v>0.33008692441883963</v>
      </c>
      <c r="K34" s="74">
        <v>0.19592437409026345</v>
      </c>
      <c r="L34" s="76">
        <v>0.22430830972248131</v>
      </c>
      <c r="N34">
        <v>0.37000812830572832</v>
      </c>
      <c r="O34">
        <v>0.33008692441883963</v>
      </c>
      <c r="P34">
        <v>0.19592437409026345</v>
      </c>
      <c r="Q34">
        <v>0.22430830972248131</v>
      </c>
      <c r="S34" t="b">
        <f t="shared" si="0"/>
        <v>1</v>
      </c>
      <c r="T34" t="b">
        <f t="shared" si="1"/>
        <v>1</v>
      </c>
      <c r="U34" t="b">
        <f t="shared" si="2"/>
        <v>1</v>
      </c>
      <c r="V34" t="b">
        <f t="shared" si="3"/>
        <v>1</v>
      </c>
    </row>
    <row r="35" spans="1:22" ht="15" customHeight="1" x14ac:dyDescent="0.25">
      <c r="A35" s="60">
        <v>23</v>
      </c>
      <c r="B35" s="59" t="s">
        <v>55</v>
      </c>
      <c r="C35" s="50">
        <v>0.30073249210325342</v>
      </c>
      <c r="D35" s="77">
        <v>0.28218324623687308</v>
      </c>
      <c r="E35" s="74">
        <v>0.19582523758523759</v>
      </c>
      <c r="F35" s="74">
        <v>0.19583295684979968</v>
      </c>
      <c r="G35" s="76">
        <v>0.15726929087587752</v>
      </c>
      <c r="I35" s="75">
        <v>0.14465277297749282</v>
      </c>
      <c r="J35" s="74">
        <v>0.1977002062449103</v>
      </c>
      <c r="K35" s="74">
        <v>7.5296942059711172E-2</v>
      </c>
      <c r="L35" s="76">
        <v>0.21782155335133591</v>
      </c>
      <c r="N35">
        <v>0.14465277297749282</v>
      </c>
      <c r="O35">
        <v>0.1977002062449103</v>
      </c>
      <c r="P35">
        <v>7.5296942059711172E-2</v>
      </c>
      <c r="Q35">
        <v>0.21782155335133591</v>
      </c>
      <c r="S35" t="b">
        <f t="shared" si="0"/>
        <v>1</v>
      </c>
      <c r="T35" t="b">
        <f t="shared" si="1"/>
        <v>1</v>
      </c>
      <c r="U35" t="b">
        <f t="shared" si="2"/>
        <v>1</v>
      </c>
      <c r="V35" t="b">
        <f t="shared" si="3"/>
        <v>1</v>
      </c>
    </row>
    <row r="36" spans="1:22" ht="15" x14ac:dyDescent="0.25">
      <c r="A36" s="60">
        <v>24</v>
      </c>
      <c r="B36" s="59" t="s">
        <v>54</v>
      </c>
      <c r="C36" s="68">
        <v>0.87448973062485047</v>
      </c>
      <c r="D36" s="77">
        <v>0.54390897021702933</v>
      </c>
      <c r="E36" s="74">
        <v>0.25224974498701153</v>
      </c>
      <c r="F36" s="74">
        <v>1.8824198694956844</v>
      </c>
      <c r="G36" s="76">
        <v>0.6149716047200815</v>
      </c>
      <c r="I36" s="75">
        <v>0.21923715516628856</v>
      </c>
      <c r="J36" s="74">
        <v>0.46099129096252295</v>
      </c>
      <c r="K36" s="74">
        <v>1.3803265912725002E-2</v>
      </c>
      <c r="L36" s="73">
        <v>7.1589516154703706E-4</v>
      </c>
      <c r="N36">
        <v>0.21923715516628856</v>
      </c>
      <c r="O36">
        <v>0.46099129096252295</v>
      </c>
      <c r="P36">
        <v>1.3803265912725002E-2</v>
      </c>
      <c r="Q36">
        <v>7.1589516154703706E-4</v>
      </c>
      <c r="S36" t="b">
        <f t="shared" si="0"/>
        <v>1</v>
      </c>
      <c r="T36" t="b">
        <f t="shared" si="1"/>
        <v>1</v>
      </c>
      <c r="U36" t="b">
        <f t="shared" si="2"/>
        <v>1</v>
      </c>
      <c r="V36" t="b">
        <f t="shared" si="3"/>
        <v>1</v>
      </c>
    </row>
    <row r="37" spans="1:22" ht="15" customHeight="1" x14ac:dyDescent="0.25">
      <c r="A37" s="72"/>
      <c r="B37" s="48" t="s">
        <v>53</v>
      </c>
      <c r="C37" s="71"/>
      <c r="D37" s="70"/>
      <c r="E37" s="70"/>
      <c r="F37" s="70"/>
      <c r="G37" s="69"/>
      <c r="I37" s="772"/>
      <c r="J37" s="773"/>
      <c r="K37" s="773"/>
      <c r="L37" s="774"/>
      <c r="S37" t="b">
        <f t="shared" si="0"/>
        <v>1</v>
      </c>
      <c r="T37" t="b">
        <f t="shared" si="1"/>
        <v>1</v>
      </c>
      <c r="U37" t="b">
        <f t="shared" si="2"/>
        <v>1</v>
      </c>
      <c r="V37" t="b">
        <f t="shared" si="3"/>
        <v>1</v>
      </c>
    </row>
    <row r="38" spans="1:22" ht="15" customHeight="1" x14ac:dyDescent="0.25">
      <c r="A38" s="60">
        <v>25</v>
      </c>
      <c r="B38" s="59" t="s">
        <v>52</v>
      </c>
      <c r="C38" s="50">
        <v>0.26849145137892477</v>
      </c>
      <c r="D38" s="68">
        <v>0.26618088210862439</v>
      </c>
      <c r="E38" s="50">
        <v>0.26972521152107359</v>
      </c>
      <c r="F38" s="50">
        <v>0.28912024057597607</v>
      </c>
      <c r="G38" s="49">
        <v>0.27565816724166298</v>
      </c>
      <c r="I38" s="51">
        <v>0.35278899881582926</v>
      </c>
      <c r="J38" s="50">
        <v>0.32247973720512596</v>
      </c>
      <c r="K38" s="50">
        <v>0.44772812081063196</v>
      </c>
      <c r="L38" s="49">
        <v>0.35465761211009106</v>
      </c>
      <c r="N38">
        <v>0.35278899881582926</v>
      </c>
      <c r="O38">
        <v>0.32247973720512596</v>
      </c>
      <c r="P38">
        <v>0.44772812081063196</v>
      </c>
      <c r="Q38">
        <v>0.35465761211009106</v>
      </c>
      <c r="S38" t="b">
        <f t="shared" si="0"/>
        <v>1</v>
      </c>
      <c r="T38" t="b">
        <f t="shared" si="1"/>
        <v>1</v>
      </c>
      <c r="U38" t="b">
        <f t="shared" si="2"/>
        <v>1</v>
      </c>
      <c r="V38" t="b">
        <f t="shared" si="3"/>
        <v>1</v>
      </c>
    </row>
    <row r="39" spans="1:22" ht="15" customHeight="1" x14ac:dyDescent="0.25">
      <c r="A39" s="60">
        <v>26</v>
      </c>
      <c r="B39" s="59" t="s">
        <v>51</v>
      </c>
      <c r="C39" s="50">
        <v>0.21543437856848457</v>
      </c>
      <c r="D39" s="68">
        <v>0.23223986609816202</v>
      </c>
      <c r="E39" s="50">
        <v>0.22596071470268353</v>
      </c>
      <c r="F39" s="50">
        <v>0.20831236350067919</v>
      </c>
      <c r="G39" s="49">
        <v>0.20196748306875525</v>
      </c>
      <c r="I39" s="51">
        <v>0.2688375631872657</v>
      </c>
      <c r="J39" s="50">
        <v>0.2686654432456681</v>
      </c>
      <c r="K39" s="50">
        <v>0.16477854600384689</v>
      </c>
      <c r="L39" s="49">
        <v>0.13308155848890119</v>
      </c>
      <c r="N39">
        <v>0.2688375631872657</v>
      </c>
      <c r="O39">
        <v>0.2686654432456681</v>
      </c>
      <c r="P39">
        <v>0.16477854600384689</v>
      </c>
      <c r="Q39">
        <v>0.13308155848890119</v>
      </c>
      <c r="S39" t="b">
        <f t="shared" si="0"/>
        <v>1</v>
      </c>
      <c r="T39" t="b">
        <f t="shared" si="1"/>
        <v>1</v>
      </c>
      <c r="U39" t="b">
        <f t="shared" si="2"/>
        <v>1</v>
      </c>
      <c r="V39" t="b">
        <f t="shared" si="3"/>
        <v>1</v>
      </c>
    </row>
    <row r="40" spans="1:22" ht="15" customHeight="1" x14ac:dyDescent="0.25">
      <c r="A40" s="60">
        <v>27</v>
      </c>
      <c r="B40" s="62" t="s">
        <v>50</v>
      </c>
      <c r="C40" s="68">
        <v>0.11470022484094086</v>
      </c>
      <c r="D40" s="68">
        <v>9.2623913426471735E-2</v>
      </c>
      <c r="E40" s="50">
        <v>0.14460847235995242</v>
      </c>
      <c r="F40" s="50">
        <v>0.10698037966067793</v>
      </c>
      <c r="G40" s="49">
        <v>8.2859139345820607E-2</v>
      </c>
      <c r="I40" s="51">
        <v>0.14195045816821317</v>
      </c>
      <c r="J40" s="50">
        <v>0.12465381841449046</v>
      </c>
      <c r="K40" s="50">
        <v>8.4388384081508658E-2</v>
      </c>
      <c r="L40" s="49">
        <v>0.1256366601234441</v>
      </c>
      <c r="N40">
        <v>0.14195045816821317</v>
      </c>
      <c r="O40">
        <v>0.12465381841449046</v>
      </c>
      <c r="P40">
        <v>8.4388384081508658E-2</v>
      </c>
      <c r="Q40">
        <v>0.1256366601234441</v>
      </c>
      <c r="S40" t="b">
        <f t="shared" si="0"/>
        <v>1</v>
      </c>
      <c r="T40" t="b">
        <f t="shared" si="1"/>
        <v>1</v>
      </c>
      <c r="U40" t="b">
        <f t="shared" si="2"/>
        <v>1</v>
      </c>
      <c r="V40" t="b">
        <f t="shared" si="3"/>
        <v>1</v>
      </c>
    </row>
    <row r="41" spans="1:22" ht="15" customHeight="1" x14ac:dyDescent="0.25">
      <c r="A41" s="67"/>
      <c r="B41" s="48" t="s">
        <v>49</v>
      </c>
      <c r="C41" s="47"/>
      <c r="D41" s="46"/>
      <c r="E41" s="46"/>
      <c r="F41" s="46"/>
      <c r="G41" s="45"/>
      <c r="I41" s="772"/>
      <c r="J41" s="773"/>
      <c r="K41" s="773"/>
      <c r="L41" s="774"/>
      <c r="S41" t="b">
        <f t="shared" si="0"/>
        <v>1</v>
      </c>
      <c r="T41" t="b">
        <f t="shared" si="1"/>
        <v>1</v>
      </c>
      <c r="U41" t="b">
        <f t="shared" si="2"/>
        <v>1</v>
      </c>
      <c r="V41" t="b">
        <f t="shared" si="3"/>
        <v>1</v>
      </c>
    </row>
    <row r="42" spans="1:22" ht="15" customHeight="1" x14ac:dyDescent="0.25">
      <c r="A42" s="60">
        <v>28</v>
      </c>
      <c r="B42" s="66" t="s">
        <v>48</v>
      </c>
      <c r="C42" s="42">
        <f>'14. LCR'!H23</f>
        <v>60047877.399999991</v>
      </c>
      <c r="D42" s="42">
        <v>65774095.029999994</v>
      </c>
      <c r="E42" s="65">
        <v>76072287.430000007</v>
      </c>
      <c r="F42" s="65">
        <v>74710514.070000008</v>
      </c>
      <c r="G42" s="64">
        <v>96974791.719999999</v>
      </c>
      <c r="I42" s="63">
        <v>28839575.869999997</v>
      </c>
      <c r="J42" s="62">
        <v>39070286.440000005</v>
      </c>
      <c r="K42" s="62">
        <v>37577645.133626401</v>
      </c>
      <c r="L42" s="61">
        <v>33641079.189999998</v>
      </c>
      <c r="N42">
        <v>28839575.869999997</v>
      </c>
      <c r="O42">
        <v>39070286.440000005</v>
      </c>
      <c r="P42">
        <v>37577645.133626401</v>
      </c>
      <c r="Q42">
        <v>33641079.189999998</v>
      </c>
      <c r="S42" t="b">
        <f t="shared" si="0"/>
        <v>1</v>
      </c>
      <c r="T42" t="b">
        <f t="shared" si="1"/>
        <v>1</v>
      </c>
      <c r="U42" t="b">
        <f t="shared" si="2"/>
        <v>1</v>
      </c>
      <c r="V42" t="b">
        <f t="shared" si="3"/>
        <v>1</v>
      </c>
    </row>
    <row r="43" spans="1:22" ht="15" x14ac:dyDescent="0.25">
      <c r="A43" s="60">
        <v>29</v>
      </c>
      <c r="B43" s="59" t="s">
        <v>47</v>
      </c>
      <c r="C43" s="42">
        <f>'14. LCR'!H24</f>
        <v>20649799.566477194</v>
      </c>
      <c r="D43" s="42">
        <v>29591437.028849997</v>
      </c>
      <c r="E43" s="58">
        <v>15889032.896350004</v>
      </c>
      <c r="F43" s="58">
        <v>11383112.439399999</v>
      </c>
      <c r="G43" s="57">
        <v>14300782.389699999</v>
      </c>
      <c r="I43" s="56">
        <v>12047888.378249999</v>
      </c>
      <c r="J43" s="55">
        <v>13254812.613400001</v>
      </c>
      <c r="K43" s="55">
        <v>12869564.5162</v>
      </c>
      <c r="L43" s="54">
        <v>11877040.71415</v>
      </c>
      <c r="N43">
        <v>12047888.378249999</v>
      </c>
      <c r="O43">
        <v>13254812.613400001</v>
      </c>
      <c r="P43">
        <v>12869564.5162</v>
      </c>
      <c r="Q43">
        <v>11877040.71415</v>
      </c>
      <c r="S43" t="b">
        <f t="shared" si="0"/>
        <v>1</v>
      </c>
      <c r="T43" t="b">
        <f t="shared" si="1"/>
        <v>1</v>
      </c>
      <c r="U43" t="b">
        <f t="shared" si="2"/>
        <v>1</v>
      </c>
      <c r="V43" t="b">
        <f t="shared" si="3"/>
        <v>1</v>
      </c>
    </row>
    <row r="44" spans="1:22" ht="15" x14ac:dyDescent="0.25">
      <c r="A44" s="44">
        <v>30</v>
      </c>
      <c r="B44" s="43" t="s">
        <v>46</v>
      </c>
      <c r="C44" s="53">
        <f>C42/C43</f>
        <v>2.9079157503049804</v>
      </c>
      <c r="D44" s="53">
        <v>2.2227408207946753</v>
      </c>
      <c r="E44" s="52">
        <v>4.7877229486682715</v>
      </c>
      <c r="F44" s="52">
        <v>6.5632764736125173</v>
      </c>
      <c r="G44" s="52">
        <v>6.7810829559818462</v>
      </c>
      <c r="I44" s="51">
        <v>2.3937452742394227</v>
      </c>
      <c r="J44" s="50">
        <v>2.9476302366207543</v>
      </c>
      <c r="K44" s="50">
        <v>2.9198847471741773</v>
      </c>
      <c r="L44" s="49">
        <v>2.8324462296336899</v>
      </c>
      <c r="N44">
        <v>2.3937452742394227</v>
      </c>
      <c r="O44">
        <v>2.9476302366207543</v>
      </c>
      <c r="P44">
        <v>2.9198847471741773</v>
      </c>
      <c r="Q44">
        <v>2.8324462296336899</v>
      </c>
      <c r="S44" t="b">
        <f t="shared" si="0"/>
        <v>1</v>
      </c>
      <c r="T44" t="b">
        <f t="shared" si="1"/>
        <v>1</v>
      </c>
      <c r="U44" t="b">
        <f t="shared" si="2"/>
        <v>1</v>
      </c>
      <c r="V44" t="b">
        <f t="shared" si="3"/>
        <v>1</v>
      </c>
    </row>
    <row r="45" spans="1:22" ht="15" x14ac:dyDescent="0.25">
      <c r="A45" s="44"/>
      <c r="B45" s="48" t="s">
        <v>10</v>
      </c>
      <c r="C45" s="47"/>
      <c r="D45" s="46"/>
      <c r="E45" s="46"/>
      <c r="F45" s="46"/>
      <c r="G45" s="45"/>
      <c r="I45" s="772"/>
      <c r="J45" s="773"/>
      <c r="K45" s="773"/>
      <c r="L45" s="774"/>
      <c r="S45" t="b">
        <f t="shared" si="0"/>
        <v>1</v>
      </c>
      <c r="T45" t="b">
        <f t="shared" si="1"/>
        <v>1</v>
      </c>
      <c r="U45" t="b">
        <f t="shared" si="2"/>
        <v>1</v>
      </c>
      <c r="V45" t="b">
        <f t="shared" si="3"/>
        <v>1</v>
      </c>
    </row>
    <row r="46" spans="1:22" ht="15" x14ac:dyDescent="0.25">
      <c r="A46" s="44">
        <v>31</v>
      </c>
      <c r="B46" s="43" t="s">
        <v>45</v>
      </c>
      <c r="C46" s="42">
        <f>'16. NSFR'!G21</f>
        <v>159296629.3905389</v>
      </c>
      <c r="D46" s="41">
        <v>153490325.71242478</v>
      </c>
      <c r="E46" s="41">
        <v>131361604.27428979</v>
      </c>
      <c r="F46" s="41">
        <v>119103609.23161648</v>
      </c>
      <c r="G46" s="40">
        <v>106656234.33489899</v>
      </c>
      <c r="I46" s="39">
        <v>61318055.754500002</v>
      </c>
      <c r="J46" s="38">
        <v>57487096.908499993</v>
      </c>
      <c r="K46" s="38">
        <v>56004417.652500004</v>
      </c>
      <c r="L46" s="37">
        <v>60000891.506999999</v>
      </c>
      <c r="N46">
        <v>61318055.754500002</v>
      </c>
      <c r="O46">
        <v>57487096.908499993</v>
      </c>
      <c r="P46">
        <v>56004417.652500004</v>
      </c>
      <c r="Q46">
        <v>60000891.506999999</v>
      </c>
      <c r="S46" t="b">
        <f t="shared" si="0"/>
        <v>1</v>
      </c>
      <c r="T46" t="b">
        <f t="shared" si="1"/>
        <v>1</v>
      </c>
      <c r="U46" t="b">
        <f t="shared" si="2"/>
        <v>1</v>
      </c>
      <c r="V46" t="b">
        <f t="shared" si="3"/>
        <v>1</v>
      </c>
    </row>
    <row r="47" spans="1:22" ht="15" x14ac:dyDescent="0.25">
      <c r="A47" s="44">
        <v>32</v>
      </c>
      <c r="B47" s="43" t="s">
        <v>44</v>
      </c>
      <c r="C47" s="42">
        <f>'16. NSFR'!G37</f>
        <v>117972447.44466089</v>
      </c>
      <c r="D47" s="41">
        <v>99156367.672002435</v>
      </c>
      <c r="E47" s="41">
        <v>81663496.111102581</v>
      </c>
      <c r="F47" s="41">
        <v>74728023.551567301</v>
      </c>
      <c r="G47" s="40">
        <v>52644786.448199168</v>
      </c>
      <c r="I47" s="39">
        <v>36598605.940775007</v>
      </c>
      <c r="J47" s="38">
        <v>39372851.676900022</v>
      </c>
      <c r="K47" s="38">
        <v>31849325.489900008</v>
      </c>
      <c r="L47" s="37">
        <v>31615845.140500002</v>
      </c>
      <c r="N47">
        <v>36598605.940775007</v>
      </c>
      <c r="O47">
        <v>39372851.676900022</v>
      </c>
      <c r="P47">
        <v>31849325.489900008</v>
      </c>
      <c r="Q47">
        <v>31615845.140500002</v>
      </c>
      <c r="S47" t="b">
        <f t="shared" si="0"/>
        <v>1</v>
      </c>
      <c r="T47" t="b">
        <f t="shared" si="1"/>
        <v>1</v>
      </c>
      <c r="U47" t="b">
        <f t="shared" si="2"/>
        <v>1</v>
      </c>
      <c r="V47" t="b">
        <f t="shared" si="3"/>
        <v>1</v>
      </c>
    </row>
    <row r="48" spans="1:22" thickBot="1" x14ac:dyDescent="0.3">
      <c r="A48" s="36">
        <v>33</v>
      </c>
      <c r="B48" s="35" t="s">
        <v>43</v>
      </c>
      <c r="C48" s="34">
        <f>C46/C47</f>
        <v>1.3502867223744135</v>
      </c>
      <c r="D48" s="33">
        <v>1.5479623680866637</v>
      </c>
      <c r="E48" s="32">
        <v>1.608571889887904</v>
      </c>
      <c r="F48" s="32">
        <v>1.5938279051288848</v>
      </c>
      <c r="G48" s="31">
        <v>2.0259600528505404</v>
      </c>
      <c r="I48" s="30">
        <v>1.6754205297799258</v>
      </c>
      <c r="J48" s="29">
        <v>1.4600694249999566</v>
      </c>
      <c r="K48" s="29">
        <v>1.7584176993092053</v>
      </c>
      <c r="L48" s="28">
        <v>1.8978107730588123</v>
      </c>
      <c r="N48">
        <v>1.6754205297799258</v>
      </c>
      <c r="O48">
        <v>1.4600694249999566</v>
      </c>
      <c r="P48">
        <v>1.7584176993092053</v>
      </c>
      <c r="Q48">
        <v>1.8978107730588123</v>
      </c>
      <c r="S48" t="b">
        <f t="shared" si="0"/>
        <v>1</v>
      </c>
      <c r="T48" t="b">
        <f t="shared" si="1"/>
        <v>1</v>
      </c>
      <c r="U48" t="b">
        <f t="shared" si="2"/>
        <v>1</v>
      </c>
      <c r="V48" t="b">
        <f t="shared" si="3"/>
        <v>1</v>
      </c>
    </row>
    <row r="49" spans="1:3" x14ac:dyDescent="0.3">
      <c r="A49" s="26"/>
      <c r="C49" s="25">
        <f>C48-'16. NSFR'!G39</f>
        <v>0</v>
      </c>
    </row>
    <row r="50" spans="1:3" ht="54.75" x14ac:dyDescent="0.3">
      <c r="B50" s="24" t="s">
        <v>42</v>
      </c>
    </row>
    <row r="51" spans="1:3" ht="96.6" customHeight="1" x14ac:dyDescent="0.3">
      <c r="B51" s="23" t="s">
        <v>41</v>
      </c>
    </row>
  </sheetData>
  <mergeCells count="10">
    <mergeCell ref="C4:G4"/>
    <mergeCell ref="I45:L45"/>
    <mergeCell ref="I31:L31"/>
    <mergeCell ref="I37:L37"/>
    <mergeCell ref="I41:L41"/>
    <mergeCell ref="I4:L4"/>
    <mergeCell ref="I24:L24"/>
    <mergeCell ref="I16:L17"/>
    <mergeCell ref="I14:L14"/>
    <mergeCell ref="I6:L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E78CD-E493-41E7-828B-3BE974B58711}">
  <dimension ref="A1:K41"/>
  <sheetViews>
    <sheetView showGridLines="0" topLeftCell="A7" zoomScale="115" zoomScaleNormal="115" workbookViewId="0">
      <selection activeCell="J19" sqref="J19"/>
    </sheetView>
  </sheetViews>
  <sheetFormatPr defaultColWidth="9.140625" defaultRowHeight="12.75" x14ac:dyDescent="0.25"/>
  <cols>
    <col min="1" max="1" width="11.85546875" style="583" bestFit="1" customWidth="1"/>
    <col min="2" max="2" width="92.28515625" style="583" customWidth="1"/>
    <col min="3" max="4" width="15.28515625" style="583" customWidth="1"/>
    <col min="5" max="5" width="17.42578125" style="583" bestFit="1" customWidth="1"/>
    <col min="6" max="6" width="15.85546875" style="583" customWidth="1"/>
    <col min="7" max="7" width="16" style="583" customWidth="1"/>
    <col min="8" max="8" width="16.85546875" style="583" customWidth="1"/>
    <col min="9" max="9" width="12.28515625" style="583" bestFit="1" customWidth="1"/>
    <col min="10" max="10" width="10.140625" style="583" bestFit="1" customWidth="1"/>
    <col min="11" max="16384" width="9.140625" style="583"/>
  </cols>
  <sheetData>
    <row r="1" spans="1:11" ht="13.5" x14ac:dyDescent="0.25">
      <c r="A1" s="601" t="s">
        <v>94</v>
      </c>
      <c r="B1" s="115" t="str">
        <f>Info!C2</f>
        <v>სს სილქ ბანკი</v>
      </c>
    </row>
    <row r="2" spans="1:11" x14ac:dyDescent="0.25">
      <c r="A2" s="601" t="s">
        <v>93</v>
      </c>
      <c r="B2" s="600">
        <f>'1. key ratios'!B2</f>
        <v>45565</v>
      </c>
    </row>
    <row r="3" spans="1:11" x14ac:dyDescent="0.25">
      <c r="A3" s="599" t="s">
        <v>578</v>
      </c>
    </row>
    <row r="4" spans="1:11" ht="40.5" customHeight="1" x14ac:dyDescent="0.25"/>
    <row r="5" spans="1:11" x14ac:dyDescent="0.25">
      <c r="A5" s="835" t="s">
        <v>577</v>
      </c>
      <c r="B5" s="836"/>
      <c r="C5" s="841" t="s">
        <v>576</v>
      </c>
      <c r="D5" s="842"/>
      <c r="E5" s="842"/>
      <c r="F5" s="842"/>
      <c r="G5" s="842"/>
      <c r="H5" s="843"/>
    </row>
    <row r="6" spans="1:11" x14ac:dyDescent="0.25">
      <c r="A6" s="837"/>
      <c r="B6" s="838"/>
      <c r="C6" s="844"/>
      <c r="D6" s="845"/>
      <c r="E6" s="845"/>
      <c r="F6" s="845"/>
      <c r="G6" s="845"/>
      <c r="H6" s="846"/>
    </row>
    <row r="7" spans="1:11" ht="38.25" x14ac:dyDescent="0.25">
      <c r="A7" s="839"/>
      <c r="B7" s="840"/>
      <c r="C7" s="598" t="s">
        <v>575</v>
      </c>
      <c r="D7" s="598" t="s">
        <v>574</v>
      </c>
      <c r="E7" s="598" t="s">
        <v>573</v>
      </c>
      <c r="F7" s="598" t="s">
        <v>572</v>
      </c>
      <c r="G7" s="598" t="s">
        <v>571</v>
      </c>
      <c r="H7" s="598" t="s">
        <v>157</v>
      </c>
    </row>
    <row r="8" spans="1:11" x14ac:dyDescent="0.25">
      <c r="A8" s="592">
        <v>1</v>
      </c>
      <c r="B8" s="591" t="s">
        <v>406</v>
      </c>
      <c r="C8" s="597">
        <v>4801595.1099999994</v>
      </c>
      <c r="D8" s="585">
        <v>7278284.4243172128</v>
      </c>
      <c r="E8" s="597">
        <v>15574817.517881386</v>
      </c>
      <c r="F8" s="597">
        <v>1449769.7468502366</v>
      </c>
      <c r="G8" s="589"/>
      <c r="H8" s="585">
        <f t="shared" ref="H8:H21" si="0">SUM(C8:G8)</f>
        <v>29104466.799048834</v>
      </c>
      <c r="I8" s="624"/>
    </row>
    <row r="9" spans="1:11" ht="24" x14ac:dyDescent="0.25">
      <c r="A9" s="592">
        <v>2</v>
      </c>
      <c r="B9" s="591" t="s">
        <v>405</v>
      </c>
      <c r="C9" s="589"/>
      <c r="D9" s="589"/>
      <c r="E9" s="589"/>
      <c r="F9" s="589"/>
      <c r="G9" s="589"/>
      <c r="H9" s="585">
        <f t="shared" si="0"/>
        <v>0</v>
      </c>
      <c r="I9" s="624"/>
    </row>
    <row r="10" spans="1:11" x14ac:dyDescent="0.25">
      <c r="A10" s="592">
        <v>3</v>
      </c>
      <c r="B10" s="591" t="s">
        <v>404</v>
      </c>
      <c r="C10" s="589"/>
      <c r="D10" s="589"/>
      <c r="E10" s="589"/>
      <c r="F10" s="589"/>
      <c r="G10" s="589"/>
      <c r="H10" s="585">
        <f t="shared" si="0"/>
        <v>0</v>
      </c>
      <c r="I10" s="624"/>
    </row>
    <row r="11" spans="1:11" x14ac:dyDescent="0.25">
      <c r="A11" s="592">
        <v>4</v>
      </c>
      <c r="B11" s="591" t="s">
        <v>403</v>
      </c>
      <c r="C11" s="589"/>
      <c r="D11" s="589"/>
      <c r="E11" s="589"/>
      <c r="F11" s="589"/>
      <c r="G11" s="589"/>
      <c r="H11" s="585">
        <f t="shared" si="0"/>
        <v>0</v>
      </c>
      <c r="I11" s="624"/>
      <c r="J11" s="588"/>
    </row>
    <row r="12" spans="1:11" x14ac:dyDescent="0.25">
      <c r="A12" s="592">
        <v>5</v>
      </c>
      <c r="B12" s="591" t="s">
        <v>402</v>
      </c>
      <c r="C12" s="589"/>
      <c r="D12" s="589"/>
      <c r="E12" s="589"/>
      <c r="F12" s="589"/>
      <c r="G12" s="589"/>
      <c r="H12" s="585">
        <f t="shared" si="0"/>
        <v>0</v>
      </c>
      <c r="I12" s="624"/>
    </row>
    <row r="13" spans="1:11" x14ac:dyDescent="0.25">
      <c r="A13" s="592">
        <v>6</v>
      </c>
      <c r="B13" s="591" t="s">
        <v>401</v>
      </c>
      <c r="C13" s="585">
        <v>9213025.2010248452</v>
      </c>
      <c r="D13" s="597">
        <v>30000000.00000006</v>
      </c>
      <c r="E13" s="589"/>
      <c r="F13" s="597">
        <v>63009.75</v>
      </c>
      <c r="G13" s="589"/>
      <c r="H13" s="585">
        <f t="shared" si="0"/>
        <v>39276034.951024905</v>
      </c>
      <c r="I13" s="624"/>
      <c r="J13" s="714"/>
    </row>
    <row r="14" spans="1:11" x14ac:dyDescent="0.25">
      <c r="A14" s="594">
        <v>7</v>
      </c>
      <c r="B14" s="593" t="s">
        <v>400</v>
      </c>
      <c r="C14" s="589"/>
      <c r="D14" s="597">
        <v>22391578.846522074</v>
      </c>
      <c r="E14" s="597">
        <v>19586379.177081492</v>
      </c>
      <c r="F14" s="597">
        <v>39338373.719686516</v>
      </c>
      <c r="G14" s="595">
        <v>1664.4506000507963</v>
      </c>
      <c r="H14" s="597">
        <f t="shared" si="0"/>
        <v>81317996.193890139</v>
      </c>
      <c r="I14" s="624"/>
      <c r="J14" s="715"/>
      <c r="K14" s="716"/>
    </row>
    <row r="15" spans="1:11" x14ac:dyDescent="0.25">
      <c r="A15" s="594">
        <v>8</v>
      </c>
      <c r="B15" s="593" t="s">
        <v>399</v>
      </c>
      <c r="C15" s="589"/>
      <c r="D15" s="597">
        <v>4747262.0244332831</v>
      </c>
      <c r="E15" s="597">
        <v>14324175.70352846</v>
      </c>
      <c r="F15" s="597">
        <v>5176373.2276204545</v>
      </c>
      <c r="G15" s="597">
        <v>92554.949052928598</v>
      </c>
      <c r="H15" s="597">
        <f t="shared" si="0"/>
        <v>24340365.904635124</v>
      </c>
      <c r="I15" s="624"/>
    </row>
    <row r="16" spans="1:11" x14ac:dyDescent="0.25">
      <c r="A16" s="592">
        <v>9</v>
      </c>
      <c r="B16" s="591" t="s">
        <v>398</v>
      </c>
      <c r="C16" s="589"/>
      <c r="D16" s="585"/>
      <c r="E16" s="585"/>
      <c r="F16" s="585"/>
      <c r="G16" s="589"/>
      <c r="H16" s="585">
        <f t="shared" si="0"/>
        <v>0</v>
      </c>
      <c r="I16" s="603"/>
    </row>
    <row r="17" spans="1:11" x14ac:dyDescent="0.25">
      <c r="A17" s="592">
        <v>10</v>
      </c>
      <c r="B17" s="596" t="s">
        <v>397</v>
      </c>
      <c r="C17" s="589"/>
      <c r="D17" s="585">
        <v>77366.905803522095</v>
      </c>
      <c r="E17" s="585">
        <v>85949.829926092236</v>
      </c>
      <c r="F17" s="585">
        <v>57213.682531052866</v>
      </c>
      <c r="G17" s="585">
        <v>723.69889978056347</v>
      </c>
      <c r="H17" s="585">
        <f t="shared" si="0"/>
        <v>221254.11716044776</v>
      </c>
      <c r="I17" s="624"/>
      <c r="J17" s="588"/>
    </row>
    <row r="18" spans="1:11" x14ac:dyDescent="0.25">
      <c r="A18" s="592">
        <v>11</v>
      </c>
      <c r="B18" s="591" t="s">
        <v>396</v>
      </c>
      <c r="C18" s="589"/>
      <c r="D18" s="595">
        <v>0</v>
      </c>
      <c r="E18" s="595">
        <v>0</v>
      </c>
      <c r="F18" s="589">
        <v>0</v>
      </c>
      <c r="G18" s="595">
        <v>0</v>
      </c>
      <c r="H18" s="585">
        <f t="shared" si="0"/>
        <v>0</v>
      </c>
      <c r="I18" s="624"/>
    </row>
    <row r="19" spans="1:11" x14ac:dyDescent="0.25">
      <c r="A19" s="592">
        <v>12</v>
      </c>
      <c r="B19" s="591" t="s">
        <v>395</v>
      </c>
      <c r="C19" s="589"/>
      <c r="D19" s="589"/>
      <c r="E19" s="589"/>
      <c r="F19" s="589"/>
      <c r="G19" s="589"/>
      <c r="H19" s="585">
        <f t="shared" si="0"/>
        <v>0</v>
      </c>
      <c r="I19" s="603"/>
    </row>
    <row r="20" spans="1:11" x14ac:dyDescent="0.25">
      <c r="A20" s="594">
        <v>13</v>
      </c>
      <c r="B20" s="593" t="s">
        <v>394</v>
      </c>
      <c r="C20" s="589"/>
      <c r="D20" s="589"/>
      <c r="E20" s="589"/>
      <c r="F20" s="589"/>
      <c r="G20" s="589"/>
      <c r="H20" s="585">
        <f t="shared" si="0"/>
        <v>0</v>
      </c>
      <c r="I20" s="603"/>
    </row>
    <row r="21" spans="1:11" x14ac:dyDescent="0.25">
      <c r="A21" s="592">
        <v>14</v>
      </c>
      <c r="B21" s="591" t="s">
        <v>393</v>
      </c>
      <c r="C21" s="590">
        <f>'2. SOFP'!E8</f>
        <v>4864761.790000001</v>
      </c>
      <c r="D21" s="590">
        <v>15088493.495051168</v>
      </c>
      <c r="E21" s="589">
        <f>'2. SOFP'!D20</f>
        <v>2297226.3138039997</v>
      </c>
      <c r="F21" s="589"/>
      <c r="G21" s="585">
        <v>17637849</v>
      </c>
      <c r="H21" s="585">
        <f t="shared" si="0"/>
        <v>39888330.598855168</v>
      </c>
      <c r="I21" s="624"/>
      <c r="K21" s="588"/>
    </row>
    <row r="22" spans="1:11" x14ac:dyDescent="0.25">
      <c r="A22" s="587">
        <v>15</v>
      </c>
      <c r="B22" s="586" t="s">
        <v>157</v>
      </c>
      <c r="C22" s="585">
        <f t="shared" ref="C22:H22" si="1">SUM(C18:C21)+SUM(C8:C16)</f>
        <v>18879382.101024844</v>
      </c>
      <c r="D22" s="585">
        <f t="shared" si="1"/>
        <v>79505618.790323794</v>
      </c>
      <c r="E22" s="585">
        <f t="shared" si="1"/>
        <v>51782598.712295339</v>
      </c>
      <c r="F22" s="585">
        <f t="shared" si="1"/>
        <v>46027526.444157206</v>
      </c>
      <c r="G22" s="585">
        <f t="shared" si="1"/>
        <v>17732068.39965298</v>
      </c>
      <c r="H22" s="585">
        <f t="shared" si="1"/>
        <v>213927194.44745418</v>
      </c>
      <c r="I22" s="624"/>
    </row>
    <row r="23" spans="1:11" x14ac:dyDescent="0.25">
      <c r="H23" s="717"/>
    </row>
    <row r="26" spans="1:11" ht="38.25" x14ac:dyDescent="0.25">
      <c r="B26" s="584" t="s">
        <v>570</v>
      </c>
    </row>
    <row r="35" spans="3:7" x14ac:dyDescent="0.25">
      <c r="D35" s="718"/>
      <c r="E35" s="718"/>
      <c r="F35" s="718"/>
      <c r="G35" s="718"/>
    </row>
    <row r="36" spans="3:7" x14ac:dyDescent="0.25">
      <c r="D36" s="718"/>
      <c r="E36" s="718"/>
      <c r="G36" s="718"/>
    </row>
    <row r="37" spans="3:7" x14ac:dyDescent="0.25">
      <c r="D37" s="718"/>
      <c r="E37" s="718"/>
      <c r="F37" s="718"/>
      <c r="G37" s="718"/>
    </row>
    <row r="41" spans="3:7" x14ac:dyDescent="0.25">
      <c r="C41" s="847"/>
      <c r="D41" s="847"/>
    </row>
  </sheetData>
  <mergeCells count="3">
    <mergeCell ref="A5:B7"/>
    <mergeCell ref="C5:H6"/>
    <mergeCell ref="C41:D41"/>
  </mergeCells>
  <conditionalFormatting sqref="A5">
    <cfRule type="duplicateValues" dxfId="19" priority="1"/>
    <cfRule type="duplicateValues" dxfId="18" priority="2"/>
    <cfRule type="duplicateValues" dxfId="17"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06281-AFC2-48D5-972F-5F7C65BF1D6A}">
  <dimension ref="A1:K36"/>
  <sheetViews>
    <sheetView showGridLines="0" topLeftCell="D5" zoomScale="115" zoomScaleNormal="115" workbookViewId="0">
      <selection activeCell="I18" sqref="I18"/>
    </sheetView>
  </sheetViews>
  <sheetFormatPr defaultColWidth="9.140625" defaultRowHeight="12.75" x14ac:dyDescent="0.25"/>
  <cols>
    <col min="1" max="1" width="11.85546875" style="602" bestFit="1" customWidth="1"/>
    <col min="2" max="2" width="86.85546875" style="583" customWidth="1"/>
    <col min="3" max="3" width="25.7109375" style="583" customWidth="1"/>
    <col min="4" max="4" width="22.5703125" style="583" customWidth="1"/>
    <col min="5" max="5" width="20.140625" style="583" customWidth="1"/>
    <col min="6" max="6" width="16" style="583" customWidth="1"/>
    <col min="7" max="7" width="20" style="583" customWidth="1"/>
    <col min="8" max="8" width="20.5703125" style="583" customWidth="1"/>
    <col min="9" max="9" width="23.42578125" style="583" customWidth="1"/>
    <col min="10" max="10" width="9.140625" style="583"/>
    <col min="11" max="11" width="14.7109375" style="583" customWidth="1"/>
    <col min="12" max="16384" width="9.140625" style="583"/>
  </cols>
  <sheetData>
    <row r="1" spans="1:11" ht="13.5" x14ac:dyDescent="0.25">
      <c r="A1" s="601" t="s">
        <v>94</v>
      </c>
      <c r="B1" s="115" t="str">
        <f>Info!C2</f>
        <v>სს სილქ ბანკი</v>
      </c>
      <c r="C1" s="622"/>
      <c r="D1" s="622"/>
      <c r="E1" s="622"/>
      <c r="F1" s="622"/>
      <c r="G1" s="622"/>
      <c r="H1" s="622"/>
    </row>
    <row r="2" spans="1:11" x14ac:dyDescent="0.25">
      <c r="A2" s="601" t="s">
        <v>93</v>
      </c>
      <c r="B2" s="600">
        <f>'1. key ratios'!B2</f>
        <v>45565</v>
      </c>
      <c r="C2" s="622"/>
      <c r="D2" s="622"/>
      <c r="E2" s="622"/>
      <c r="F2" s="622"/>
      <c r="G2" s="622"/>
      <c r="H2" s="622"/>
    </row>
    <row r="3" spans="1:11" x14ac:dyDescent="0.25">
      <c r="A3" s="599" t="s">
        <v>596</v>
      </c>
      <c r="B3" s="622"/>
      <c r="C3" s="622"/>
      <c r="D3" s="622"/>
      <c r="E3" s="622"/>
      <c r="F3" s="622"/>
      <c r="G3" s="622"/>
      <c r="H3" s="622"/>
    </row>
    <row r="4" spans="1:11" ht="40.5" customHeight="1" x14ac:dyDescent="0.25">
      <c r="A4" s="623"/>
      <c r="B4" s="622"/>
      <c r="C4" s="621" t="s">
        <v>595</v>
      </c>
      <c r="D4" s="621" t="s">
        <v>594</v>
      </c>
      <c r="E4" s="621" t="s">
        <v>593</v>
      </c>
      <c r="F4" s="621" t="s">
        <v>592</v>
      </c>
      <c r="G4" s="621" t="s">
        <v>591</v>
      </c>
      <c r="H4" s="621" t="s">
        <v>590</v>
      </c>
    </row>
    <row r="5" spans="1:11" ht="33.950000000000003" customHeight="1" x14ac:dyDescent="0.25">
      <c r="A5" s="835" t="s">
        <v>589</v>
      </c>
      <c r="B5" s="836"/>
      <c r="C5" s="850" t="s">
        <v>588</v>
      </c>
      <c r="D5" s="850"/>
      <c r="E5" s="850" t="s">
        <v>587</v>
      </c>
      <c r="F5" s="848" t="s">
        <v>586</v>
      </c>
      <c r="G5" s="848" t="s">
        <v>585</v>
      </c>
      <c r="H5" s="618" t="s">
        <v>584</v>
      </c>
    </row>
    <row r="6" spans="1:11" ht="38.25" x14ac:dyDescent="0.25">
      <c r="A6" s="839"/>
      <c r="B6" s="840"/>
      <c r="C6" s="620" t="s">
        <v>583</v>
      </c>
      <c r="D6" s="620" t="s">
        <v>582</v>
      </c>
      <c r="E6" s="850"/>
      <c r="F6" s="849"/>
      <c r="G6" s="849"/>
      <c r="H6" s="618" t="s">
        <v>581</v>
      </c>
    </row>
    <row r="7" spans="1:11" x14ac:dyDescent="0.25">
      <c r="A7" s="614">
        <v>1</v>
      </c>
      <c r="B7" s="591" t="s">
        <v>406</v>
      </c>
      <c r="C7" s="616"/>
      <c r="D7" s="617">
        <v>29174503.809999902</v>
      </c>
      <c r="E7" s="617">
        <v>70037.01095116073</v>
      </c>
      <c r="F7" s="616"/>
      <c r="G7" s="616"/>
      <c r="H7" s="763">
        <f t="shared" ref="H7:H20" si="0">C7+D7-E7-F7</f>
        <v>29104466.79904874</v>
      </c>
      <c r="I7" s="624"/>
      <c r="J7" s="716"/>
    </row>
    <row r="8" spans="1:11" ht="24" x14ac:dyDescent="0.25">
      <c r="A8" s="614">
        <v>2</v>
      </c>
      <c r="B8" s="591" t="s">
        <v>405</v>
      </c>
      <c r="C8" s="616"/>
      <c r="D8" s="616">
        <v>0</v>
      </c>
      <c r="E8" s="616"/>
      <c r="F8" s="616"/>
      <c r="G8" s="616"/>
      <c r="H8" s="763">
        <f t="shared" si="0"/>
        <v>0</v>
      </c>
      <c r="I8" s="624"/>
    </row>
    <row r="9" spans="1:11" x14ac:dyDescent="0.25">
      <c r="A9" s="614">
        <v>3</v>
      </c>
      <c r="B9" s="591" t="s">
        <v>404</v>
      </c>
      <c r="C9" s="616"/>
      <c r="D9" s="616">
        <v>0</v>
      </c>
      <c r="E9" s="616"/>
      <c r="F9" s="616"/>
      <c r="G9" s="616"/>
      <c r="H9" s="763">
        <f t="shared" si="0"/>
        <v>0</v>
      </c>
      <c r="I9" s="624"/>
    </row>
    <row r="10" spans="1:11" x14ac:dyDescent="0.25">
      <c r="A10" s="614">
        <v>4</v>
      </c>
      <c r="B10" s="591" t="s">
        <v>403</v>
      </c>
      <c r="C10" s="616"/>
      <c r="D10" s="616">
        <v>0</v>
      </c>
      <c r="E10" s="616"/>
      <c r="F10" s="616"/>
      <c r="G10" s="616"/>
      <c r="H10" s="763">
        <f t="shared" si="0"/>
        <v>0</v>
      </c>
      <c r="I10" s="624"/>
    </row>
    <row r="11" spans="1:11" x14ac:dyDescent="0.25">
      <c r="A11" s="614">
        <v>5</v>
      </c>
      <c r="B11" s="591" t="s">
        <v>402</v>
      </c>
      <c r="C11" s="616"/>
      <c r="D11" s="616">
        <v>0</v>
      </c>
      <c r="E11" s="616"/>
      <c r="F11" s="616"/>
      <c r="G11" s="616"/>
      <c r="H11" s="763">
        <f t="shared" si="0"/>
        <v>0</v>
      </c>
      <c r="I11" s="624"/>
    </row>
    <row r="12" spans="1:11" x14ac:dyDescent="0.25">
      <c r="A12" s="614">
        <v>6</v>
      </c>
      <c r="B12" s="591" t="s">
        <v>401</v>
      </c>
      <c r="C12" s="606"/>
      <c r="D12" s="606">
        <v>39276034.951024905</v>
      </c>
      <c r="E12" s="606"/>
      <c r="F12" s="616"/>
      <c r="G12" s="616"/>
      <c r="H12" s="763">
        <f t="shared" si="0"/>
        <v>39276034.951024905</v>
      </c>
      <c r="I12" s="624"/>
    </row>
    <row r="13" spans="1:11" x14ac:dyDescent="0.25">
      <c r="A13" s="614">
        <v>7</v>
      </c>
      <c r="B13" s="591" t="s">
        <v>400</v>
      </c>
      <c r="C13" s="606">
        <v>305550.2586563307</v>
      </c>
      <c r="D13" s="605">
        <v>81878554.953685492</v>
      </c>
      <c r="E13" s="606">
        <v>866111.01845166204</v>
      </c>
      <c r="F13" s="616"/>
      <c r="G13" s="616"/>
      <c r="H13" s="763">
        <f t="shared" si="0"/>
        <v>81317994.193890169</v>
      </c>
      <c r="I13" s="624"/>
      <c r="K13" s="624"/>
    </row>
    <row r="14" spans="1:11" x14ac:dyDescent="0.25">
      <c r="A14" s="614">
        <v>8</v>
      </c>
      <c r="B14" s="593" t="s">
        <v>399</v>
      </c>
      <c r="C14" s="606">
        <v>512950.97237258794</v>
      </c>
      <c r="D14" s="606">
        <v>24922386.89235333</v>
      </c>
      <c r="E14" s="606">
        <v>1094969.981233221</v>
      </c>
      <c r="F14" s="616"/>
      <c r="G14" s="617">
        <v>197020.81</v>
      </c>
      <c r="H14" s="763">
        <f t="shared" si="0"/>
        <v>24340367.883492697</v>
      </c>
      <c r="I14" s="624"/>
    </row>
    <row r="15" spans="1:11" x14ac:dyDescent="0.25">
      <c r="A15" s="614">
        <v>9</v>
      </c>
      <c r="B15" s="591" t="s">
        <v>398</v>
      </c>
      <c r="C15" s="606"/>
      <c r="D15" s="606">
        <v>0</v>
      </c>
      <c r="E15" s="606"/>
      <c r="F15" s="616"/>
      <c r="G15" s="616"/>
      <c r="H15" s="763">
        <f t="shared" si="0"/>
        <v>0</v>
      </c>
      <c r="I15" s="603"/>
    </row>
    <row r="16" spans="1:11" x14ac:dyDescent="0.25">
      <c r="A16" s="614">
        <v>10</v>
      </c>
      <c r="B16" s="596" t="s">
        <v>397</v>
      </c>
      <c r="C16" s="606">
        <v>535125.20102891861</v>
      </c>
      <c r="D16" s="606">
        <v>0</v>
      </c>
      <c r="E16" s="606">
        <v>313871.08501096989</v>
      </c>
      <c r="F16" s="616"/>
      <c r="G16" s="616"/>
      <c r="H16" s="763">
        <f t="shared" si="0"/>
        <v>221254.11601794872</v>
      </c>
      <c r="I16" s="624"/>
    </row>
    <row r="17" spans="1:9" x14ac:dyDescent="0.25">
      <c r="A17" s="614">
        <v>11</v>
      </c>
      <c r="B17" s="591" t="s">
        <v>396</v>
      </c>
      <c r="C17" s="606">
        <v>0</v>
      </c>
      <c r="D17" s="606">
        <v>0</v>
      </c>
      <c r="E17" s="606">
        <v>0</v>
      </c>
      <c r="F17" s="616"/>
      <c r="G17" s="616"/>
      <c r="H17" s="763">
        <f t="shared" si="0"/>
        <v>0</v>
      </c>
      <c r="I17" s="624"/>
    </row>
    <row r="18" spans="1:9" x14ac:dyDescent="0.25">
      <c r="A18" s="614">
        <v>12</v>
      </c>
      <c r="B18" s="591" t="s">
        <v>395</v>
      </c>
      <c r="C18" s="606"/>
      <c r="D18" s="606">
        <v>0</v>
      </c>
      <c r="E18" s="606"/>
      <c r="F18" s="616"/>
      <c r="G18" s="616"/>
      <c r="H18" s="763">
        <f t="shared" si="0"/>
        <v>0</v>
      </c>
      <c r="I18" s="624"/>
    </row>
    <row r="19" spans="1:9" x14ac:dyDescent="0.25">
      <c r="A19" s="615">
        <v>13</v>
      </c>
      <c r="B19" s="593" t="s">
        <v>394</v>
      </c>
      <c r="C19" s="606"/>
      <c r="D19" s="606">
        <v>0</v>
      </c>
      <c r="E19" s="606"/>
      <c r="F19" s="616"/>
      <c r="G19" s="616"/>
      <c r="H19" s="763">
        <f t="shared" si="0"/>
        <v>0</v>
      </c>
      <c r="I19" s="624"/>
    </row>
    <row r="20" spans="1:9" x14ac:dyDescent="0.25">
      <c r="A20" s="614">
        <v>14</v>
      </c>
      <c r="B20" s="591" t="s">
        <v>393</v>
      </c>
      <c r="C20" s="606">
        <v>0</v>
      </c>
      <c r="D20" s="605">
        <v>39911534.905051164</v>
      </c>
      <c r="E20" s="606">
        <v>23204.306195999998</v>
      </c>
      <c r="F20" s="616"/>
      <c r="G20" s="616"/>
      <c r="H20" s="763">
        <f t="shared" si="0"/>
        <v>39888330.598855168</v>
      </c>
      <c r="I20" s="624"/>
    </row>
    <row r="21" spans="1:9" s="610" customFormat="1" x14ac:dyDescent="0.25">
      <c r="A21" s="613">
        <v>15</v>
      </c>
      <c r="B21" s="611" t="s">
        <v>157</v>
      </c>
      <c r="C21" s="612">
        <f t="shared" ref="C21:H21" si="1">SUM(C7:C15)+SUM(C17:C20)</f>
        <v>818501.23102891864</v>
      </c>
      <c r="D21" s="612">
        <f t="shared" si="1"/>
        <v>215163015.51211479</v>
      </c>
      <c r="E21" s="612">
        <f t="shared" si="1"/>
        <v>2054322.3168320437</v>
      </c>
      <c r="F21" s="625">
        <f t="shared" si="1"/>
        <v>0</v>
      </c>
      <c r="G21" s="625">
        <f t="shared" si="1"/>
        <v>197020.81</v>
      </c>
      <c r="H21" s="763">
        <f t="shared" si="1"/>
        <v>213927194.4263117</v>
      </c>
      <c r="I21" s="624"/>
    </row>
    <row r="22" spans="1:9" x14ac:dyDescent="0.25">
      <c r="A22" s="608">
        <v>16</v>
      </c>
      <c r="B22" s="609" t="s">
        <v>580</v>
      </c>
      <c r="C22" s="606">
        <f>C13+C14+C17</f>
        <v>818501.23102891864</v>
      </c>
      <c r="D22" s="606">
        <f>D13+D14+D17</f>
        <v>106800941.84603882</v>
      </c>
      <c r="E22" s="606">
        <f>E13+E14+E17</f>
        <v>1961080.999684883</v>
      </c>
      <c r="F22" s="606">
        <f>F13+F14+F17</f>
        <v>0</v>
      </c>
      <c r="G22" s="605">
        <f>G13+G14+G17</f>
        <v>197020.81</v>
      </c>
      <c r="H22" s="763">
        <f>C22+D22-E22-F22</f>
        <v>105658362.07738285</v>
      </c>
      <c r="I22" s="624"/>
    </row>
    <row r="23" spans="1:9" x14ac:dyDescent="0.25">
      <c r="A23" s="608">
        <v>17</v>
      </c>
      <c r="B23" s="607" t="s">
        <v>579</v>
      </c>
      <c r="C23" s="606"/>
      <c r="D23" s="605">
        <v>26693339.32</v>
      </c>
      <c r="E23" s="605">
        <v>93241.317147160735</v>
      </c>
      <c r="F23" s="616"/>
      <c r="G23" s="616"/>
      <c r="H23" s="763">
        <f>C23+D23-E23-F23</f>
        <v>26600098.002852838</v>
      </c>
      <c r="I23" s="624"/>
    </row>
    <row r="24" spans="1:9" x14ac:dyDescent="0.25">
      <c r="D24" s="588"/>
      <c r="H24" s="717"/>
    </row>
    <row r="25" spans="1:9" x14ac:dyDescent="0.25">
      <c r="C25" s="715"/>
      <c r="D25" s="715"/>
      <c r="E25" s="715"/>
      <c r="F25" s="717"/>
      <c r="G25" s="717"/>
    </row>
    <row r="26" spans="1:9" ht="42.6" customHeight="1" x14ac:dyDescent="0.25">
      <c r="B26" s="584" t="s">
        <v>570</v>
      </c>
      <c r="C26" s="722"/>
      <c r="D26" s="588"/>
      <c r="E26" s="715"/>
      <c r="F26" s="603"/>
      <c r="I26" s="588"/>
    </row>
    <row r="27" spans="1:9" x14ac:dyDescent="0.25">
      <c r="F27" s="603"/>
    </row>
    <row r="28" spans="1:9" x14ac:dyDescent="0.25">
      <c r="C28" s="723"/>
      <c r="E28" s="715"/>
      <c r="F28" s="603"/>
    </row>
    <row r="29" spans="1:9" x14ac:dyDescent="0.25">
      <c r="C29" s="724"/>
    </row>
    <row r="30" spans="1:9" x14ac:dyDescent="0.25">
      <c r="C30" s="725"/>
    </row>
    <row r="31" spans="1:9" x14ac:dyDescent="0.25">
      <c r="C31" s="725"/>
      <c r="F31" s="588"/>
    </row>
    <row r="32" spans="1:9" x14ac:dyDescent="0.25">
      <c r="C32" s="721"/>
    </row>
    <row r="33" spans="3:3" x14ac:dyDescent="0.25">
      <c r="C33" s="721"/>
    </row>
    <row r="34" spans="3:3" x14ac:dyDescent="0.25">
      <c r="C34" s="720"/>
    </row>
    <row r="35" spans="3:3" x14ac:dyDescent="0.25">
      <c r="C35" s="721"/>
    </row>
    <row r="36" spans="3:3" x14ac:dyDescent="0.25">
      <c r="C36" s="721"/>
    </row>
  </sheetData>
  <mergeCells count="5">
    <mergeCell ref="G5:G6"/>
    <mergeCell ref="A5:B6"/>
    <mergeCell ref="C5:D5"/>
    <mergeCell ref="E5:E6"/>
    <mergeCell ref="F5:F6"/>
  </mergeCells>
  <conditionalFormatting sqref="A5">
    <cfRule type="duplicateValues" dxfId="16" priority="1"/>
    <cfRule type="duplicateValues" dxfId="15" priority="2"/>
    <cfRule type="duplicateValues" dxfId="14"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6683C-4FB7-4364-B130-0ABE954E8087}">
  <dimension ref="A1:O40"/>
  <sheetViews>
    <sheetView showGridLines="0" topLeftCell="A3" zoomScale="115" zoomScaleNormal="115" workbookViewId="0">
      <selection activeCell="H7" sqref="C7:H34"/>
    </sheetView>
  </sheetViews>
  <sheetFormatPr defaultColWidth="9.140625" defaultRowHeight="12.75" x14ac:dyDescent="0.25"/>
  <cols>
    <col min="1" max="1" width="11" style="583" bestFit="1" customWidth="1"/>
    <col min="2" max="2" width="93.42578125" style="583" customWidth="1"/>
    <col min="3" max="5" width="22" style="583" customWidth="1"/>
    <col min="6" max="6" width="21.28515625" style="583" customWidth="1"/>
    <col min="7" max="7" width="26.85546875" style="583" customWidth="1"/>
    <col min="8" max="8" width="21.85546875" style="583" customWidth="1"/>
    <col min="9" max="11" width="9.140625" style="583"/>
    <col min="12" max="12" width="36.5703125" style="583" customWidth="1"/>
    <col min="13" max="16384" width="9.140625" style="583"/>
  </cols>
  <sheetData>
    <row r="1" spans="1:15" ht="13.5" x14ac:dyDescent="0.25">
      <c r="A1" s="601" t="s">
        <v>94</v>
      </c>
      <c r="B1" s="115" t="str">
        <f>Info!C2</f>
        <v>სს სილქ ბანკი</v>
      </c>
      <c r="C1" s="622"/>
      <c r="D1" s="622"/>
      <c r="E1" s="622"/>
      <c r="F1" s="622"/>
      <c r="G1" s="622"/>
      <c r="H1" s="622"/>
    </row>
    <row r="2" spans="1:15" x14ac:dyDescent="0.25">
      <c r="A2" s="601" t="s">
        <v>93</v>
      </c>
      <c r="B2" s="600">
        <f>'1. key ratios'!B2</f>
        <v>45565</v>
      </c>
      <c r="C2" s="622"/>
      <c r="D2" s="622"/>
      <c r="E2" s="622"/>
      <c r="F2" s="622"/>
      <c r="G2" s="622"/>
      <c r="H2" s="622"/>
    </row>
    <row r="3" spans="1:15" x14ac:dyDescent="0.25">
      <c r="A3" s="599" t="s">
        <v>626</v>
      </c>
      <c r="B3" s="622"/>
      <c r="C3" s="622"/>
      <c r="D3" s="622"/>
      <c r="E3" s="622"/>
      <c r="F3" s="622"/>
      <c r="G3" s="622"/>
      <c r="H3" s="622"/>
    </row>
    <row r="4" spans="1:15" ht="40.5" customHeight="1" x14ac:dyDescent="0.25">
      <c r="A4" s="622"/>
      <c r="B4" s="622"/>
      <c r="C4" s="621" t="s">
        <v>595</v>
      </c>
      <c r="D4" s="621" t="s">
        <v>594</v>
      </c>
      <c r="E4" s="621" t="s">
        <v>593</v>
      </c>
      <c r="F4" s="621" t="s">
        <v>592</v>
      </c>
      <c r="G4" s="621" t="s">
        <v>591</v>
      </c>
      <c r="H4" s="621" t="s">
        <v>590</v>
      </c>
    </row>
    <row r="5" spans="1:15" ht="41.45" customHeight="1" x14ac:dyDescent="0.25">
      <c r="A5" s="835" t="s">
        <v>625</v>
      </c>
      <c r="B5" s="836"/>
      <c r="C5" s="851" t="s">
        <v>588</v>
      </c>
      <c r="D5" s="852"/>
      <c r="E5" s="848" t="s">
        <v>624</v>
      </c>
      <c r="F5" s="848" t="s">
        <v>586</v>
      </c>
      <c r="G5" s="848" t="s">
        <v>585</v>
      </c>
      <c r="H5" s="618" t="s">
        <v>584</v>
      </c>
    </row>
    <row r="6" spans="1:15" ht="38.25" x14ac:dyDescent="0.25">
      <c r="A6" s="839"/>
      <c r="B6" s="840"/>
      <c r="C6" s="620" t="s">
        <v>583</v>
      </c>
      <c r="D6" s="620" t="s">
        <v>582</v>
      </c>
      <c r="E6" s="849"/>
      <c r="F6" s="849"/>
      <c r="G6" s="849"/>
      <c r="H6" s="618" t="s">
        <v>581</v>
      </c>
      <c r="I6" s="627"/>
    </row>
    <row r="7" spans="1:15" x14ac:dyDescent="0.25">
      <c r="A7" s="604">
        <v>1</v>
      </c>
      <c r="B7" s="626" t="s">
        <v>623</v>
      </c>
      <c r="C7" s="616">
        <v>14485.957153284671</v>
      </c>
      <c r="D7" s="616">
        <v>31432303.499076158</v>
      </c>
      <c r="E7" s="616">
        <v>144065.03474480903</v>
      </c>
      <c r="F7" s="616"/>
      <c r="G7" s="617"/>
      <c r="H7" s="763">
        <f t="shared" ref="H7:H34" si="0">C7+D7-E7-F7</f>
        <v>31302724.421484631</v>
      </c>
      <c r="I7" s="588"/>
      <c r="O7" s="588"/>
    </row>
    <row r="8" spans="1:15" x14ac:dyDescent="0.25">
      <c r="A8" s="604">
        <v>2</v>
      </c>
      <c r="B8" s="626" t="s">
        <v>622</v>
      </c>
      <c r="C8" s="616">
        <v>0</v>
      </c>
      <c r="D8" s="616">
        <v>44212718.462553307</v>
      </c>
      <c r="E8" s="616">
        <v>50748.162672025705</v>
      </c>
      <c r="F8" s="616"/>
      <c r="G8" s="617"/>
      <c r="H8" s="763">
        <f t="shared" si="0"/>
        <v>44161970.299881279</v>
      </c>
      <c r="I8" s="588"/>
      <c r="O8" s="588"/>
    </row>
    <row r="9" spans="1:15" x14ac:dyDescent="0.25">
      <c r="A9" s="604">
        <v>3</v>
      </c>
      <c r="B9" s="626" t="s">
        <v>621</v>
      </c>
      <c r="C9" s="616">
        <v>0</v>
      </c>
      <c r="D9" s="616">
        <v>0</v>
      </c>
      <c r="E9" s="616">
        <v>0</v>
      </c>
      <c r="F9" s="616"/>
      <c r="G9" s="617"/>
      <c r="H9" s="763">
        <f t="shared" si="0"/>
        <v>0</v>
      </c>
      <c r="I9" s="588"/>
      <c r="O9" s="588"/>
    </row>
    <row r="10" spans="1:15" ht="13.5" x14ac:dyDescent="0.25">
      <c r="A10" s="604">
        <v>4</v>
      </c>
      <c r="B10" s="626" t="s">
        <v>620</v>
      </c>
      <c r="C10" s="616">
        <v>0</v>
      </c>
      <c r="D10" s="616">
        <v>9569017.7968612537</v>
      </c>
      <c r="E10" s="616">
        <v>80526.565863690877</v>
      </c>
      <c r="F10" s="616"/>
      <c r="G10" s="617"/>
      <c r="H10" s="763">
        <f t="shared" si="0"/>
        <v>9488491.2309975624</v>
      </c>
      <c r="I10" s="588"/>
      <c r="J10" s="726"/>
      <c r="O10" s="588"/>
    </row>
    <row r="11" spans="1:15" x14ac:dyDescent="0.25">
      <c r="A11" s="604">
        <v>5</v>
      </c>
      <c r="B11" s="626" t="s">
        <v>618</v>
      </c>
      <c r="C11" s="616">
        <v>0</v>
      </c>
      <c r="D11" s="616">
        <v>12217807.965764649</v>
      </c>
      <c r="E11" s="616">
        <v>283193.90572608722</v>
      </c>
      <c r="F11" s="616"/>
      <c r="G11" s="617"/>
      <c r="H11" s="763">
        <f t="shared" si="0"/>
        <v>11934614.060038563</v>
      </c>
      <c r="I11" s="588"/>
      <c r="O11" s="588"/>
    </row>
    <row r="12" spans="1:15" ht="13.5" x14ac:dyDescent="0.25">
      <c r="A12" s="604">
        <v>6</v>
      </c>
      <c r="B12" s="626" t="s">
        <v>617</v>
      </c>
      <c r="C12" s="616">
        <v>54852.567176684875</v>
      </c>
      <c r="D12" s="616">
        <v>10733315.90857178</v>
      </c>
      <c r="E12" s="616">
        <v>129010.07615525337</v>
      </c>
      <c r="F12" s="616"/>
      <c r="G12" s="617">
        <v>70000</v>
      </c>
      <c r="H12" s="763">
        <f t="shared" si="0"/>
        <v>10659158.399593212</v>
      </c>
      <c r="I12" s="588"/>
      <c r="J12" s="726"/>
      <c r="O12" s="588"/>
    </row>
    <row r="13" spans="1:15" x14ac:dyDescent="0.25">
      <c r="A13" s="604">
        <v>7</v>
      </c>
      <c r="B13" s="626" t="s">
        <v>615</v>
      </c>
      <c r="C13" s="616">
        <v>0</v>
      </c>
      <c r="D13" s="616">
        <v>13424998.53076354</v>
      </c>
      <c r="E13" s="616">
        <v>51212.634181598565</v>
      </c>
      <c r="F13" s="616"/>
      <c r="G13" s="617"/>
      <c r="H13" s="763">
        <f t="shared" si="0"/>
        <v>13373785.896581942</v>
      </c>
      <c r="I13" s="588"/>
      <c r="O13" s="588"/>
    </row>
    <row r="14" spans="1:15" x14ac:dyDescent="0.25">
      <c r="A14" s="604">
        <v>8</v>
      </c>
      <c r="B14" s="626" t="s">
        <v>614</v>
      </c>
      <c r="C14" s="616">
        <v>0</v>
      </c>
      <c r="D14" s="616">
        <v>871148.52286854293</v>
      </c>
      <c r="E14" s="616">
        <v>15617.4764710117</v>
      </c>
      <c r="F14" s="616"/>
      <c r="G14" s="617"/>
      <c r="H14" s="763">
        <f t="shared" si="0"/>
        <v>855531.04639753129</v>
      </c>
      <c r="I14" s="588"/>
      <c r="O14" s="588"/>
    </row>
    <row r="15" spans="1:15" x14ac:dyDescent="0.25">
      <c r="A15" s="604">
        <v>9</v>
      </c>
      <c r="B15" s="626" t="s">
        <v>613</v>
      </c>
      <c r="C15" s="616">
        <v>0</v>
      </c>
      <c r="D15" s="616">
        <v>802716.58654983575</v>
      </c>
      <c r="E15" s="616">
        <v>11997.096862088569</v>
      </c>
      <c r="F15" s="616"/>
      <c r="G15" s="617"/>
      <c r="H15" s="763">
        <f t="shared" si="0"/>
        <v>790719.48968774721</v>
      </c>
      <c r="I15" s="588"/>
      <c r="O15" s="588"/>
    </row>
    <row r="16" spans="1:15" x14ac:dyDescent="0.25">
      <c r="A16" s="604">
        <v>10</v>
      </c>
      <c r="B16" s="626" t="s">
        <v>612</v>
      </c>
      <c r="C16" s="616">
        <v>0</v>
      </c>
      <c r="D16" s="616">
        <v>971540.18209269294</v>
      </c>
      <c r="E16" s="616">
        <v>14281.109901312599</v>
      </c>
      <c r="F16" s="616"/>
      <c r="G16" s="617"/>
      <c r="H16" s="763">
        <f t="shared" si="0"/>
        <v>957259.07219138031</v>
      </c>
      <c r="I16" s="588"/>
      <c r="O16" s="588"/>
    </row>
    <row r="17" spans="1:15" x14ac:dyDescent="0.25">
      <c r="A17" s="604">
        <v>11</v>
      </c>
      <c r="B17" s="626" t="s">
        <v>611</v>
      </c>
      <c r="C17" s="616">
        <v>0</v>
      </c>
      <c r="D17" s="616">
        <v>25277.61841542607</v>
      </c>
      <c r="E17" s="616">
        <v>991.47091870186136</v>
      </c>
      <c r="F17" s="616"/>
      <c r="G17" s="617"/>
      <c r="H17" s="763">
        <f t="shared" si="0"/>
        <v>24286.14749672421</v>
      </c>
      <c r="I17" s="588"/>
      <c r="O17" s="588"/>
    </row>
    <row r="18" spans="1:15" x14ac:dyDescent="0.25">
      <c r="A18" s="604">
        <v>12</v>
      </c>
      <c r="B18" s="626" t="s">
        <v>610</v>
      </c>
      <c r="C18" s="616">
        <v>46430.369073077629</v>
      </c>
      <c r="D18" s="616">
        <v>5271321.1348812412</v>
      </c>
      <c r="E18" s="616">
        <v>96020.463743265762</v>
      </c>
      <c r="F18" s="616"/>
      <c r="G18" s="617"/>
      <c r="H18" s="763">
        <f t="shared" si="0"/>
        <v>5221731.0402110536</v>
      </c>
      <c r="I18" s="588"/>
      <c r="O18" s="588"/>
    </row>
    <row r="19" spans="1:15" x14ac:dyDescent="0.25">
      <c r="A19" s="604">
        <v>13</v>
      </c>
      <c r="B19" s="626" t="s">
        <v>609</v>
      </c>
      <c r="C19" s="616">
        <v>11208.945839416059</v>
      </c>
      <c r="D19" s="616">
        <v>195203.97703595899</v>
      </c>
      <c r="E19" s="616">
        <v>12426.191501014095</v>
      </c>
      <c r="F19" s="616"/>
      <c r="G19" s="617"/>
      <c r="H19" s="763">
        <f t="shared" si="0"/>
        <v>193986.73137436097</v>
      </c>
      <c r="I19" s="588"/>
      <c r="O19" s="588"/>
    </row>
    <row r="20" spans="1:15" x14ac:dyDescent="0.25">
      <c r="A20" s="604">
        <v>14</v>
      </c>
      <c r="B20" s="626" t="s">
        <v>608</v>
      </c>
      <c r="C20" s="616">
        <v>38570.559999999998</v>
      </c>
      <c r="D20" s="616">
        <v>2649637.7876578709</v>
      </c>
      <c r="E20" s="616">
        <v>52094.364046499475</v>
      </c>
      <c r="F20" s="616"/>
      <c r="G20" s="617"/>
      <c r="H20" s="763">
        <f t="shared" si="0"/>
        <v>2636113.9836113714</v>
      </c>
      <c r="I20" s="588"/>
      <c r="O20" s="588"/>
    </row>
    <row r="21" spans="1:15" x14ac:dyDescent="0.25">
      <c r="A21" s="604">
        <v>15</v>
      </c>
      <c r="B21" s="626" t="s">
        <v>607</v>
      </c>
      <c r="C21" s="616">
        <v>17951.701944605815</v>
      </c>
      <c r="D21" s="616">
        <v>1984730.7578448665</v>
      </c>
      <c r="E21" s="616">
        <v>36927.073915332738</v>
      </c>
      <c r="F21" s="616"/>
      <c r="G21" s="617"/>
      <c r="H21" s="763">
        <f t="shared" si="0"/>
        <v>1965755.3858741396</v>
      </c>
      <c r="I21" s="588"/>
      <c r="O21" s="588"/>
    </row>
    <row r="22" spans="1:15" x14ac:dyDescent="0.25">
      <c r="A22" s="604">
        <v>16</v>
      </c>
      <c r="B22" s="609" t="s">
        <v>606</v>
      </c>
      <c r="C22" s="616">
        <v>0</v>
      </c>
      <c r="D22" s="616">
        <v>88663.87848289797</v>
      </c>
      <c r="E22" s="616">
        <v>1814.6965396520252</v>
      </c>
      <c r="F22" s="616"/>
      <c r="G22" s="617"/>
      <c r="H22" s="763">
        <f t="shared" si="0"/>
        <v>86849.181943245945</v>
      </c>
      <c r="I22" s="588"/>
      <c r="O22" s="588"/>
    </row>
    <row r="23" spans="1:15" ht="13.5" x14ac:dyDescent="0.25">
      <c r="A23" s="604">
        <v>17</v>
      </c>
      <c r="B23" s="626" t="s">
        <v>605</v>
      </c>
      <c r="C23" s="616">
        <v>0</v>
      </c>
      <c r="D23" s="616">
        <v>79326.288228135702</v>
      </c>
      <c r="E23" s="616">
        <v>1754.4138647091415</v>
      </c>
      <c r="F23" s="616"/>
      <c r="G23" s="617"/>
      <c r="H23" s="763">
        <f t="shared" si="0"/>
        <v>77571.874363426556</v>
      </c>
      <c r="I23" s="588"/>
      <c r="J23" s="726"/>
      <c r="O23" s="588"/>
    </row>
    <row r="24" spans="1:15" x14ac:dyDescent="0.25">
      <c r="A24" s="604">
        <v>18</v>
      </c>
      <c r="B24" s="626" t="s">
        <v>604</v>
      </c>
      <c r="C24" s="616">
        <v>0</v>
      </c>
      <c r="D24" s="616">
        <v>10688490.929019621</v>
      </c>
      <c r="E24" s="616">
        <v>28244.036995170176</v>
      </c>
      <c r="F24" s="616"/>
      <c r="G24" s="617"/>
      <c r="H24" s="763">
        <f t="shared" si="0"/>
        <v>10660246.89202445</v>
      </c>
      <c r="I24" s="588"/>
      <c r="O24" s="588"/>
    </row>
    <row r="25" spans="1:15" x14ac:dyDescent="0.25">
      <c r="A25" s="604">
        <v>19</v>
      </c>
      <c r="B25" s="626" t="s">
        <v>603</v>
      </c>
      <c r="C25" s="616">
        <v>18.84</v>
      </c>
      <c r="D25" s="616">
        <v>254758.61425194066</v>
      </c>
      <c r="E25" s="616">
        <v>11117.16489047251</v>
      </c>
      <c r="F25" s="616"/>
      <c r="G25" s="617"/>
      <c r="H25" s="763">
        <f t="shared" si="0"/>
        <v>243660.28936146814</v>
      </c>
      <c r="I25" s="588"/>
      <c r="O25" s="588"/>
    </row>
    <row r="26" spans="1:15" x14ac:dyDescent="0.25">
      <c r="A26" s="604">
        <v>20</v>
      </c>
      <c r="B26" s="626" t="s">
        <v>602</v>
      </c>
      <c r="C26" s="616">
        <v>0</v>
      </c>
      <c r="D26" s="616">
        <v>360126.15235112852</v>
      </c>
      <c r="E26" s="616">
        <v>15623.304778371063</v>
      </c>
      <c r="F26" s="616"/>
      <c r="G26" s="617"/>
      <c r="H26" s="763">
        <f t="shared" si="0"/>
        <v>344502.84757275746</v>
      </c>
      <c r="I26" s="588"/>
      <c r="O26" s="588"/>
    </row>
    <row r="27" spans="1:15" x14ac:dyDescent="0.25">
      <c r="A27" s="604">
        <v>21</v>
      </c>
      <c r="B27" s="626" t="s">
        <v>601</v>
      </c>
      <c r="C27" s="616">
        <v>145.5</v>
      </c>
      <c r="D27" s="616">
        <v>214397.52027087979</v>
      </c>
      <c r="E27" s="616">
        <v>7035.2645949056268</v>
      </c>
      <c r="F27" s="616"/>
      <c r="G27" s="617"/>
      <c r="H27" s="763">
        <f t="shared" si="0"/>
        <v>207507.75567597416</v>
      </c>
      <c r="I27" s="588"/>
      <c r="O27" s="588"/>
    </row>
    <row r="28" spans="1:15" x14ac:dyDescent="0.25">
      <c r="A28" s="604">
        <v>22</v>
      </c>
      <c r="B28" s="626" t="s">
        <v>600</v>
      </c>
      <c r="C28" s="616">
        <v>47955.83</v>
      </c>
      <c r="D28" s="616">
        <v>3352749.2861340423</v>
      </c>
      <c r="E28" s="616">
        <v>69619.903221689674</v>
      </c>
      <c r="F28" s="616"/>
      <c r="G28" s="617"/>
      <c r="H28" s="763">
        <f t="shared" si="0"/>
        <v>3331085.2129123528</v>
      </c>
      <c r="I28" s="588"/>
      <c r="O28" s="588"/>
    </row>
    <row r="29" spans="1:15" x14ac:dyDescent="0.25">
      <c r="A29" s="604">
        <v>23</v>
      </c>
      <c r="B29" s="626" t="s">
        <v>599</v>
      </c>
      <c r="C29" s="616">
        <v>366730.20772228431</v>
      </c>
      <c r="D29" s="616">
        <v>14477981.506175894</v>
      </c>
      <c r="E29" s="616">
        <v>640271.12247089902</v>
      </c>
      <c r="F29" s="616"/>
      <c r="G29" s="617">
        <v>94232.4</v>
      </c>
      <c r="H29" s="763">
        <f t="shared" si="0"/>
        <v>14204440.59142728</v>
      </c>
      <c r="I29" s="588"/>
      <c r="O29" s="588"/>
    </row>
    <row r="30" spans="1:15" x14ac:dyDescent="0.25">
      <c r="A30" s="604">
        <v>24</v>
      </c>
      <c r="B30" s="626" t="s">
        <v>598</v>
      </c>
      <c r="C30" s="616">
        <v>144338.21</v>
      </c>
      <c r="D30" s="616">
        <v>2651142.4005117398</v>
      </c>
      <c r="E30" s="616">
        <v>115658.20660059729</v>
      </c>
      <c r="F30" s="616"/>
      <c r="G30" s="617"/>
      <c r="H30" s="763">
        <f t="shared" si="0"/>
        <v>2679822.4039111426</v>
      </c>
      <c r="I30" s="588"/>
      <c r="O30" s="588"/>
    </row>
    <row r="31" spans="1:15" ht="13.5" x14ac:dyDescent="0.25">
      <c r="A31" s="604">
        <v>25</v>
      </c>
      <c r="B31" s="626" t="s">
        <v>216</v>
      </c>
      <c r="C31" s="616">
        <v>75812.542119565216</v>
      </c>
      <c r="D31" s="617">
        <v>8722105.3007001448</v>
      </c>
      <c r="E31" s="616">
        <v>160868.26997688433</v>
      </c>
      <c r="F31" s="616"/>
      <c r="G31" s="617">
        <v>32788.410000000003</v>
      </c>
      <c r="H31" s="763">
        <f t="shared" si="0"/>
        <v>8637049.5728428252</v>
      </c>
      <c r="I31" s="588"/>
      <c r="J31" s="726"/>
      <c r="O31" s="588"/>
    </row>
    <row r="32" spans="1:15" x14ac:dyDescent="0.25">
      <c r="A32" s="604">
        <v>26</v>
      </c>
      <c r="B32" s="626" t="s">
        <v>597</v>
      </c>
      <c r="C32" s="616">
        <v>0</v>
      </c>
      <c r="D32" s="616">
        <v>0</v>
      </c>
      <c r="E32" s="616">
        <v>0</v>
      </c>
      <c r="F32" s="616"/>
      <c r="G32" s="617"/>
      <c r="H32" s="763">
        <f t="shared" si="0"/>
        <v>0</v>
      </c>
      <c r="I32" s="588"/>
      <c r="O32" s="588"/>
    </row>
    <row r="33" spans="1:15" x14ac:dyDescent="0.25">
      <c r="A33" s="604">
        <v>27</v>
      </c>
      <c r="B33" s="604" t="s">
        <v>132</v>
      </c>
      <c r="C33" s="616">
        <f>'18. Assets by Exposure classes'!C20</f>
        <v>0</v>
      </c>
      <c r="D33" s="616">
        <f>'18. Assets by Exposure classes'!D20</f>
        <v>39911534.905051164</v>
      </c>
      <c r="E33" s="616">
        <f>'18. Assets by Exposure classes'!E20</f>
        <v>23204.306195999998</v>
      </c>
      <c r="F33" s="616"/>
      <c r="G33" s="617"/>
      <c r="H33" s="763">
        <f t="shared" si="0"/>
        <v>39888330.598855168</v>
      </c>
      <c r="I33" s="588"/>
      <c r="O33" s="588"/>
    </row>
    <row r="34" spans="1:15" x14ac:dyDescent="0.25">
      <c r="A34" s="604">
        <v>28</v>
      </c>
      <c r="B34" s="611" t="s">
        <v>157</v>
      </c>
      <c r="C34" s="625">
        <f>SUM(C7:C33)</f>
        <v>818501.23102891853</v>
      </c>
      <c r="D34" s="625">
        <f>SUM(D7:D33)</f>
        <v>215163015.51211476</v>
      </c>
      <c r="E34" s="625">
        <f>SUM(E7:E33)</f>
        <v>2054322.3168320423</v>
      </c>
      <c r="F34" s="625">
        <f>SUM(F7:F33)</f>
        <v>0</v>
      </c>
      <c r="G34" s="625">
        <f>SUM(G7:G33)</f>
        <v>197020.81</v>
      </c>
      <c r="H34" s="763">
        <f t="shared" si="0"/>
        <v>213927194.42631164</v>
      </c>
      <c r="I34" s="588"/>
      <c r="O34" s="588"/>
    </row>
    <row r="35" spans="1:15" x14ac:dyDescent="0.25">
      <c r="C35" s="715"/>
      <c r="D35" s="715"/>
      <c r="E35" s="715"/>
      <c r="F35" s="715"/>
      <c r="G35" s="715"/>
      <c r="H35" s="715"/>
    </row>
    <row r="36" spans="1:15" x14ac:dyDescent="0.25">
      <c r="B36" s="727"/>
      <c r="C36" s="715"/>
      <c r="D36" s="715"/>
      <c r="E36" s="715"/>
      <c r="F36" s="603"/>
      <c r="G36" s="603"/>
      <c r="H36" s="624"/>
    </row>
    <row r="37" spans="1:15" x14ac:dyDescent="0.25">
      <c r="F37" s="728"/>
    </row>
    <row r="38" spans="1:15" x14ac:dyDescent="0.25">
      <c r="C38" s="624"/>
      <c r="E38" s="624"/>
      <c r="F38" s="728"/>
    </row>
    <row r="39" spans="1:15" x14ac:dyDescent="0.25">
      <c r="D39" s="624"/>
    </row>
    <row r="40" spans="1:15" x14ac:dyDescent="0.25">
      <c r="E40" s="728"/>
    </row>
  </sheetData>
  <mergeCells count="5">
    <mergeCell ref="G5:G6"/>
    <mergeCell ref="A5:B6"/>
    <mergeCell ref="C5:D5"/>
    <mergeCell ref="E5:E6"/>
    <mergeCell ref="F5:F6"/>
  </mergeCells>
  <conditionalFormatting sqref="A5">
    <cfRule type="duplicateValues" dxfId="13" priority="2"/>
    <cfRule type="duplicateValues" dxfId="12" priority="3"/>
    <cfRule type="duplicateValues" dxfId="11" priority="4"/>
  </conditionalFormatting>
  <conditionalFormatting sqref="B7:B31">
    <cfRule type="duplicateValues" dxfId="10" priority="5"/>
  </conditionalFormatting>
  <conditionalFormatting sqref="J31">
    <cfRule type="duplicateValues" dxfId="9" priority="1"/>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02F6-E033-498F-8991-439BD108D409}">
  <dimension ref="A1:F28"/>
  <sheetViews>
    <sheetView showGridLines="0" zoomScale="115" zoomScaleNormal="115" workbookViewId="0">
      <selection activeCell="A19" sqref="A19"/>
    </sheetView>
  </sheetViews>
  <sheetFormatPr defaultColWidth="9.140625" defaultRowHeight="12.75" x14ac:dyDescent="0.25"/>
  <cols>
    <col min="1" max="1" width="11.85546875" style="583" bestFit="1" customWidth="1"/>
    <col min="2" max="2" width="108" style="583" bestFit="1" customWidth="1"/>
    <col min="3" max="3" width="26.5703125" style="583" customWidth="1"/>
    <col min="4" max="4" width="32.28515625" style="583" customWidth="1"/>
    <col min="5" max="5" width="10.42578125" style="583" bestFit="1" customWidth="1"/>
    <col min="6" max="6" width="9.85546875" style="583" bestFit="1" customWidth="1"/>
    <col min="7" max="7" width="62.140625" style="583" customWidth="1"/>
    <col min="8" max="16384" width="9.140625" style="583"/>
  </cols>
  <sheetData>
    <row r="1" spans="1:6" ht="13.5" x14ac:dyDescent="0.25">
      <c r="A1" s="601" t="s">
        <v>94</v>
      </c>
      <c r="B1" s="115" t="str">
        <f>Info!C2</f>
        <v>სს სილქ ბანკი</v>
      </c>
    </row>
    <row r="2" spans="1:6" x14ac:dyDescent="0.25">
      <c r="A2" s="601" t="s">
        <v>93</v>
      </c>
      <c r="B2" s="600">
        <f>'1. key ratios'!B2</f>
        <v>45565</v>
      </c>
    </row>
    <row r="3" spans="1:6" x14ac:dyDescent="0.25">
      <c r="A3" s="599" t="s">
        <v>640</v>
      </c>
      <c r="C3" s="630"/>
    </row>
    <row r="4" spans="1:6" ht="40.5" customHeight="1" x14ac:dyDescent="0.25"/>
    <row r="5" spans="1:6" ht="25.5" x14ac:dyDescent="0.25">
      <c r="A5" s="853" t="s">
        <v>639</v>
      </c>
      <c r="B5" s="853"/>
      <c r="C5" s="598" t="s">
        <v>638</v>
      </c>
      <c r="D5" s="598" t="s">
        <v>637</v>
      </c>
    </row>
    <row r="6" spans="1:6" x14ac:dyDescent="0.25">
      <c r="A6" s="639">
        <v>1</v>
      </c>
      <c r="B6" s="633" t="s">
        <v>636</v>
      </c>
      <c r="C6" s="632">
        <v>1745153.3098020547</v>
      </c>
      <c r="D6" s="632">
        <v>101762.93463185235</v>
      </c>
    </row>
    <row r="7" spans="1:6" x14ac:dyDescent="0.25">
      <c r="A7" s="636">
        <v>2</v>
      </c>
      <c r="B7" s="633" t="s">
        <v>635</v>
      </c>
      <c r="C7" s="597">
        <f>SUM(C8:C9)</f>
        <v>1108170.6981256518</v>
      </c>
      <c r="D7" s="585">
        <f>D9+D8</f>
        <v>0</v>
      </c>
      <c r="E7" s="588"/>
      <c r="F7" s="588"/>
    </row>
    <row r="8" spans="1:6" x14ac:dyDescent="0.25">
      <c r="A8" s="638">
        <v>2.1</v>
      </c>
      <c r="B8" s="637" t="s">
        <v>634</v>
      </c>
      <c r="C8" s="597">
        <v>929660.07942347531</v>
      </c>
      <c r="D8" s="585"/>
      <c r="E8" s="588"/>
      <c r="F8" s="588"/>
    </row>
    <row r="9" spans="1:6" x14ac:dyDescent="0.25">
      <c r="A9" s="638">
        <v>2.2000000000000002</v>
      </c>
      <c r="B9" s="637" t="s">
        <v>633</v>
      </c>
      <c r="C9" s="597">
        <v>178510.61870217655</v>
      </c>
      <c r="D9" s="597"/>
      <c r="E9" s="588"/>
      <c r="F9" s="588"/>
    </row>
    <row r="10" spans="1:6" x14ac:dyDescent="0.25">
      <c r="A10" s="639">
        <v>3</v>
      </c>
      <c r="B10" s="633" t="s">
        <v>632</v>
      </c>
      <c r="C10" s="597">
        <f>SUM(C11:C13)</f>
        <v>826589.67137967073</v>
      </c>
      <c r="D10" s="585"/>
      <c r="E10" s="588"/>
      <c r="F10" s="588"/>
    </row>
    <row r="11" spans="1:6" x14ac:dyDescent="0.25">
      <c r="A11" s="638">
        <v>3.1</v>
      </c>
      <c r="B11" s="637" t="s">
        <v>631</v>
      </c>
      <c r="C11" s="597">
        <f>'19. Assets by Risk Sectors'!G34</f>
        <v>197020.81</v>
      </c>
      <c r="D11" s="585"/>
      <c r="E11" s="588"/>
      <c r="F11" s="588"/>
    </row>
    <row r="12" spans="1:6" x14ac:dyDescent="0.25">
      <c r="A12" s="638">
        <v>3.2</v>
      </c>
      <c r="B12" s="637" t="s">
        <v>630</v>
      </c>
      <c r="C12" s="597">
        <v>584371.86137967068</v>
      </c>
      <c r="D12" s="585"/>
      <c r="E12" s="588"/>
      <c r="F12" s="588"/>
    </row>
    <row r="13" spans="1:6" x14ac:dyDescent="0.25">
      <c r="A13" s="638">
        <v>3.3</v>
      </c>
      <c r="B13" s="637" t="s">
        <v>629</v>
      </c>
      <c r="C13" s="597">
        <v>45197</v>
      </c>
      <c r="D13" s="585"/>
      <c r="E13" s="588"/>
      <c r="F13" s="588"/>
    </row>
    <row r="14" spans="1:6" x14ac:dyDescent="0.25">
      <c r="A14" s="636">
        <v>4</v>
      </c>
      <c r="B14" s="635" t="s">
        <v>628</v>
      </c>
      <c r="C14" s="597">
        <f>-64850-803</f>
        <v>-65653</v>
      </c>
      <c r="D14" s="585">
        <v>-8522</v>
      </c>
      <c r="E14" s="624"/>
    </row>
    <row r="15" spans="1:6" x14ac:dyDescent="0.25">
      <c r="A15" s="634">
        <v>5</v>
      </c>
      <c r="B15" s="633" t="s">
        <v>627</v>
      </c>
      <c r="C15" s="632">
        <f>C6+C7-C10+C14</f>
        <v>1961081.3365480357</v>
      </c>
      <c r="D15" s="632">
        <f>D6+D7-D10+D14</f>
        <v>93240.934631852346</v>
      </c>
      <c r="E15" s="631"/>
    </row>
    <row r="16" spans="1:6" x14ac:dyDescent="0.25">
      <c r="C16" s="717"/>
      <c r="D16" s="717"/>
    </row>
    <row r="17" spans="2:3" x14ac:dyDescent="0.25">
      <c r="C17" s="630"/>
    </row>
    <row r="18" spans="2:3" x14ac:dyDescent="0.25">
      <c r="C18" s="630"/>
    </row>
    <row r="19" spans="2:3" x14ac:dyDescent="0.25">
      <c r="C19" s="588"/>
    </row>
    <row r="22" spans="2:3" x14ac:dyDescent="0.25">
      <c r="B22" s="629"/>
    </row>
    <row r="28" spans="2:3" x14ac:dyDescent="0.25">
      <c r="C28" s="588"/>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5298-8253-41B1-8801-A744FB9F77B3}">
  <dimension ref="A1:D24"/>
  <sheetViews>
    <sheetView showGridLines="0" topLeftCell="B4" zoomScaleNormal="100" workbookViewId="0">
      <selection activeCell="D26" sqref="D26"/>
    </sheetView>
  </sheetViews>
  <sheetFormatPr defaultColWidth="9.140625" defaultRowHeight="12.75" x14ac:dyDescent="0.25"/>
  <cols>
    <col min="1" max="1" width="11.85546875" style="622" bestFit="1" customWidth="1"/>
    <col min="2" max="2" width="128.85546875" style="622" bestFit="1" customWidth="1"/>
    <col min="3" max="3" width="30.42578125" style="622" customWidth="1"/>
    <col min="4" max="4" width="50.5703125" style="622" customWidth="1"/>
    <col min="5" max="6" width="9.140625" style="622"/>
    <col min="7" max="7" width="62.140625" style="622" customWidth="1"/>
    <col min="8" max="16384" width="9.140625" style="622"/>
  </cols>
  <sheetData>
    <row r="1" spans="1:4" ht="13.5" x14ac:dyDescent="0.25">
      <c r="A1" s="601" t="s">
        <v>94</v>
      </c>
      <c r="B1" s="115" t="str">
        <f>Info!C2</f>
        <v>სს სილქ ბანკი</v>
      </c>
    </row>
    <row r="2" spans="1:4" x14ac:dyDescent="0.25">
      <c r="A2" s="601" t="s">
        <v>93</v>
      </c>
      <c r="B2" s="600">
        <f>'1. key ratios'!B2</f>
        <v>45565</v>
      </c>
    </row>
    <row r="3" spans="1:4" x14ac:dyDescent="0.25">
      <c r="A3" s="599" t="s">
        <v>655</v>
      </c>
      <c r="C3" s="622">
        <v>581129.99412966787</v>
      </c>
      <c r="D3" s="640">
        <f>C3-'22. Quality'!L8</f>
        <v>-237371.23689925077</v>
      </c>
    </row>
    <row r="4" spans="1:4" ht="40.5" customHeight="1" x14ac:dyDescent="0.25">
      <c r="A4" s="599"/>
    </row>
    <row r="5" spans="1:4" ht="15" customHeight="1" x14ac:dyDescent="0.25">
      <c r="A5" s="854" t="s">
        <v>5</v>
      </c>
      <c r="B5" s="855"/>
      <c r="C5" s="858" t="s">
        <v>654</v>
      </c>
      <c r="D5" s="858" t="s">
        <v>653</v>
      </c>
    </row>
    <row r="6" spans="1:4" x14ac:dyDescent="0.25">
      <c r="A6" s="856"/>
      <c r="B6" s="857"/>
      <c r="C6" s="858"/>
      <c r="D6" s="858"/>
    </row>
    <row r="7" spans="1:4" x14ac:dyDescent="0.25">
      <c r="A7" s="611">
        <v>1</v>
      </c>
      <c r="B7" s="611" t="s">
        <v>652</v>
      </c>
      <c r="C7" s="617">
        <v>825350.54927183501</v>
      </c>
      <c r="D7" s="641"/>
    </row>
    <row r="8" spans="1:4" x14ac:dyDescent="0.25">
      <c r="A8" s="604">
        <v>2</v>
      </c>
      <c r="B8" s="604" t="s">
        <v>651</v>
      </c>
      <c r="C8" s="616">
        <v>1137770.4037789905</v>
      </c>
      <c r="D8" s="641"/>
    </row>
    <row r="9" spans="1:4" x14ac:dyDescent="0.25">
      <c r="A9" s="604">
        <v>3</v>
      </c>
      <c r="B9" s="644" t="s">
        <v>650</v>
      </c>
      <c r="C9" s="616"/>
      <c r="D9" s="641"/>
    </row>
    <row r="10" spans="1:4" x14ac:dyDescent="0.25">
      <c r="A10" s="604">
        <v>4</v>
      </c>
      <c r="B10" s="604" t="s">
        <v>649</v>
      </c>
      <c r="C10" s="616">
        <f>SUM(C11:C17)</f>
        <v>1144619.71</v>
      </c>
      <c r="D10" s="641"/>
    </row>
    <row r="11" spans="1:4" x14ac:dyDescent="0.25">
      <c r="A11" s="604">
        <v>5</v>
      </c>
      <c r="B11" s="643" t="s">
        <v>648</v>
      </c>
      <c r="C11" s="616">
        <v>0</v>
      </c>
      <c r="D11" s="641"/>
    </row>
    <row r="12" spans="1:4" x14ac:dyDescent="0.25">
      <c r="A12" s="604">
        <v>6</v>
      </c>
      <c r="B12" s="643" t="s">
        <v>647</v>
      </c>
      <c r="C12" s="616">
        <v>891475.9</v>
      </c>
      <c r="D12" s="641"/>
    </row>
    <row r="13" spans="1:4" x14ac:dyDescent="0.25">
      <c r="A13" s="604">
        <v>7</v>
      </c>
      <c r="B13" s="643" t="s">
        <v>646</v>
      </c>
      <c r="C13" s="617">
        <f>'20. Reserves'!C11</f>
        <v>197020.81</v>
      </c>
      <c r="D13" s="641"/>
    </row>
    <row r="14" spans="1:4" x14ac:dyDescent="0.25">
      <c r="A14" s="604">
        <v>8</v>
      </c>
      <c r="B14" s="643" t="s">
        <v>645</v>
      </c>
      <c r="C14" s="616"/>
      <c r="D14" s="604"/>
    </row>
    <row r="15" spans="1:4" x14ac:dyDescent="0.25">
      <c r="A15" s="604">
        <v>9</v>
      </c>
      <c r="B15" s="643" t="s">
        <v>644</v>
      </c>
      <c r="C15" s="616"/>
      <c r="D15" s="604"/>
    </row>
    <row r="16" spans="1:4" x14ac:dyDescent="0.25">
      <c r="A16" s="604">
        <v>10</v>
      </c>
      <c r="B16" s="643" t="s">
        <v>643</v>
      </c>
      <c r="C16" s="616"/>
      <c r="D16" s="604"/>
    </row>
    <row r="17" spans="1:4" ht="25.5" x14ac:dyDescent="0.25">
      <c r="A17" s="604">
        <v>11</v>
      </c>
      <c r="B17" s="643" t="s">
        <v>642</v>
      </c>
      <c r="C17" s="616">
        <v>56123</v>
      </c>
      <c r="D17" s="641"/>
    </row>
    <row r="18" spans="1:4" x14ac:dyDescent="0.25">
      <c r="A18" s="611">
        <v>12</v>
      </c>
      <c r="B18" s="642" t="s">
        <v>641</v>
      </c>
      <c r="C18" s="732">
        <f>SUM(C7:C9,-C10)</f>
        <v>818501.24305082555</v>
      </c>
      <c r="D18" s="641"/>
    </row>
    <row r="19" spans="1:4" x14ac:dyDescent="0.25">
      <c r="C19" s="729"/>
    </row>
    <row r="20" spans="1:4" x14ac:dyDescent="0.25">
      <c r="C20" s="730"/>
    </row>
    <row r="21" spans="1:4" x14ac:dyDescent="0.25">
      <c r="B21" s="601"/>
    </row>
    <row r="22" spans="1:4" x14ac:dyDescent="0.25">
      <c r="B22" s="731"/>
    </row>
    <row r="23" spans="1:4" x14ac:dyDescent="0.25">
      <c r="B23" s="599"/>
    </row>
    <row r="24" spans="1:4" x14ac:dyDescent="0.25">
      <c r="C24" s="640"/>
    </row>
  </sheetData>
  <mergeCells count="3">
    <mergeCell ref="A5:B6"/>
    <mergeCell ref="C5:C6"/>
    <mergeCell ref="D5:D6"/>
  </mergeCell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3FE69-C14D-4B42-B68B-2275C2A50D58}">
  <dimension ref="A1:AB28"/>
  <sheetViews>
    <sheetView showGridLines="0" topLeftCell="U1" zoomScale="110" zoomScaleNormal="110" workbookViewId="0">
      <selection activeCell="AC34" sqref="AC34"/>
    </sheetView>
  </sheetViews>
  <sheetFormatPr defaultColWidth="9.140625" defaultRowHeight="12.75" x14ac:dyDescent="0.25"/>
  <cols>
    <col min="1" max="1" width="11.85546875" style="622" bestFit="1" customWidth="1"/>
    <col min="2" max="2" width="63.85546875" style="622" customWidth="1"/>
    <col min="3" max="3" width="15.5703125" style="622" customWidth="1"/>
    <col min="4" max="4" width="18.28515625" style="622" customWidth="1"/>
    <col min="5" max="6" width="22.28515625" style="622" customWidth="1"/>
    <col min="7" max="7" width="19" style="622" customWidth="1"/>
    <col min="8" max="18" width="22.28515625" style="622" customWidth="1"/>
    <col min="19" max="19" width="23.28515625" style="622" bestFit="1" customWidth="1"/>
    <col min="20" max="26" width="22.28515625" style="622" customWidth="1"/>
    <col min="27" max="27" width="23.28515625" style="622" customWidth="1"/>
    <col min="28" max="28" width="20" style="622" customWidth="1"/>
    <col min="29" max="16384" width="9.140625" style="622"/>
  </cols>
  <sheetData>
    <row r="1" spans="1:28" ht="13.5" x14ac:dyDescent="0.25">
      <c r="A1" s="601" t="s">
        <v>94</v>
      </c>
      <c r="B1" s="115" t="str">
        <f>Info!C2</f>
        <v>სს სილქ ბანკი</v>
      </c>
    </row>
    <row r="2" spans="1:28" x14ac:dyDescent="0.25">
      <c r="A2" s="601" t="s">
        <v>93</v>
      </c>
      <c r="B2" s="600">
        <f>'1. key ratios'!B2</f>
        <v>45565</v>
      </c>
      <c r="C2" s="623"/>
    </row>
    <row r="3" spans="1:28" x14ac:dyDescent="0.25">
      <c r="A3" s="599" t="s">
        <v>680</v>
      </c>
      <c r="D3" s="622">
        <v>0</v>
      </c>
      <c r="E3" s="649" t="s">
        <v>679</v>
      </c>
      <c r="F3" s="656" t="s">
        <v>678</v>
      </c>
      <c r="G3" s="622" t="s">
        <v>677</v>
      </c>
      <c r="P3" s="622">
        <v>365</v>
      </c>
      <c r="Q3" s="622">
        <f>365*2</f>
        <v>730</v>
      </c>
      <c r="R3" s="622">
        <f>365*5</f>
        <v>1825</v>
      </c>
    </row>
    <row r="4" spans="1:28" ht="40.5" customHeight="1" x14ac:dyDescent="0.25">
      <c r="C4" s="640"/>
    </row>
    <row r="5" spans="1:28" ht="15" customHeight="1" x14ac:dyDescent="0.25">
      <c r="A5" s="859" t="s">
        <v>676</v>
      </c>
      <c r="B5" s="860"/>
      <c r="C5" s="851" t="s">
        <v>675</v>
      </c>
      <c r="D5" s="865"/>
      <c r="E5" s="865"/>
      <c r="F5" s="865"/>
      <c r="G5" s="865"/>
      <c r="H5" s="865"/>
      <c r="I5" s="865"/>
      <c r="J5" s="865"/>
      <c r="K5" s="865"/>
      <c r="L5" s="865"/>
      <c r="M5" s="865"/>
      <c r="N5" s="865"/>
      <c r="O5" s="865"/>
      <c r="P5" s="865"/>
      <c r="Q5" s="865"/>
      <c r="R5" s="865"/>
      <c r="S5" s="865"/>
      <c r="T5" s="655"/>
      <c r="U5" s="655"/>
      <c r="V5" s="655"/>
      <c r="W5" s="655"/>
      <c r="X5" s="655"/>
      <c r="Y5" s="655"/>
      <c r="Z5" s="655"/>
      <c r="AA5" s="628"/>
      <c r="AB5" s="649"/>
    </row>
    <row r="6" spans="1:28" x14ac:dyDescent="0.25">
      <c r="A6" s="861"/>
      <c r="B6" s="862"/>
      <c r="C6" s="866" t="s">
        <v>157</v>
      </c>
      <c r="D6" s="868" t="s">
        <v>674</v>
      </c>
      <c r="E6" s="868"/>
      <c r="F6" s="868"/>
      <c r="G6" s="868"/>
      <c r="H6" s="869" t="s">
        <v>673</v>
      </c>
      <c r="I6" s="870"/>
      <c r="J6" s="870"/>
      <c r="K6" s="871"/>
      <c r="L6" s="653"/>
      <c r="M6" s="872" t="s">
        <v>672</v>
      </c>
      <c r="N6" s="872"/>
      <c r="O6" s="872"/>
      <c r="P6" s="872"/>
      <c r="Q6" s="872"/>
      <c r="R6" s="872"/>
      <c r="S6" s="849"/>
      <c r="T6" s="654"/>
      <c r="U6" s="852" t="s">
        <v>671</v>
      </c>
      <c r="V6" s="852"/>
      <c r="W6" s="852"/>
      <c r="X6" s="852"/>
      <c r="Y6" s="852"/>
      <c r="Z6" s="852"/>
      <c r="AA6" s="850"/>
      <c r="AB6" s="653"/>
    </row>
    <row r="7" spans="1:28" ht="25.5" x14ac:dyDescent="0.25">
      <c r="A7" s="863"/>
      <c r="B7" s="864"/>
      <c r="C7" s="867"/>
      <c r="D7" s="652"/>
      <c r="E7" s="618" t="s">
        <v>669</v>
      </c>
      <c r="F7" s="618" t="s">
        <v>668</v>
      </c>
      <c r="G7" s="618" t="s">
        <v>670</v>
      </c>
      <c r="H7" s="651"/>
      <c r="I7" s="618" t="s">
        <v>669</v>
      </c>
      <c r="J7" s="618" t="s">
        <v>668</v>
      </c>
      <c r="K7" s="618" t="s">
        <v>670</v>
      </c>
      <c r="L7" s="650"/>
      <c r="M7" s="618" t="s">
        <v>669</v>
      </c>
      <c r="N7" s="618" t="s">
        <v>668</v>
      </c>
      <c r="O7" s="618" t="s">
        <v>667</v>
      </c>
      <c r="P7" s="618" t="s">
        <v>666</v>
      </c>
      <c r="Q7" s="618" t="s">
        <v>665</v>
      </c>
      <c r="R7" s="618" t="s">
        <v>664</v>
      </c>
      <c r="S7" s="618" t="s">
        <v>663</v>
      </c>
      <c r="T7" s="619"/>
      <c r="U7" s="618" t="s">
        <v>669</v>
      </c>
      <c r="V7" s="618" t="s">
        <v>668</v>
      </c>
      <c r="W7" s="618" t="s">
        <v>667</v>
      </c>
      <c r="X7" s="618" t="s">
        <v>666</v>
      </c>
      <c r="Y7" s="618" t="s">
        <v>665</v>
      </c>
      <c r="Z7" s="618" t="s">
        <v>664</v>
      </c>
      <c r="AA7" s="618" t="s">
        <v>663</v>
      </c>
      <c r="AB7" s="649"/>
    </row>
    <row r="8" spans="1:28" x14ac:dyDescent="0.25">
      <c r="A8" s="648">
        <v>1</v>
      </c>
      <c r="B8" s="611" t="s">
        <v>638</v>
      </c>
      <c r="C8" s="625">
        <f t="shared" ref="C8:C14" si="0">D8+H8+L8</f>
        <v>106438543.07706772</v>
      </c>
      <c r="D8" s="616">
        <f t="shared" ref="D8:AA8" si="1">D13+D14</f>
        <v>104024295.42747448</v>
      </c>
      <c r="E8" s="616">
        <f t="shared" si="1"/>
        <v>476597.56802415045</v>
      </c>
      <c r="F8" s="616">
        <f t="shared" si="1"/>
        <v>0</v>
      </c>
      <c r="G8" s="616">
        <f t="shared" si="1"/>
        <v>0</v>
      </c>
      <c r="H8" s="616">
        <f t="shared" si="1"/>
        <v>1595746.4185643187</v>
      </c>
      <c r="I8" s="616">
        <f t="shared" si="1"/>
        <v>25563.419174641149</v>
      </c>
      <c r="J8" s="616">
        <f t="shared" si="1"/>
        <v>1357746.3560899347</v>
      </c>
      <c r="K8" s="616">
        <f t="shared" si="1"/>
        <v>0</v>
      </c>
      <c r="L8" s="616">
        <f t="shared" si="1"/>
        <v>818501.23102891864</v>
      </c>
      <c r="M8" s="616">
        <f t="shared" si="1"/>
        <v>21454.45</v>
      </c>
      <c r="N8" s="616">
        <f t="shared" si="1"/>
        <v>115795.23999999999</v>
      </c>
      <c r="O8" s="616">
        <f t="shared" si="1"/>
        <v>247990.9231349304</v>
      </c>
      <c r="P8" s="616">
        <f t="shared" si="1"/>
        <v>80026.680740703538</v>
      </c>
      <c r="Q8" s="616">
        <f t="shared" si="1"/>
        <v>62765.037153284669</v>
      </c>
      <c r="R8" s="616">
        <f t="shared" si="1"/>
        <v>144338.21</v>
      </c>
      <c r="S8" s="616">
        <f t="shared" si="1"/>
        <v>0</v>
      </c>
      <c r="T8" s="616">
        <f t="shared" si="1"/>
        <v>0</v>
      </c>
      <c r="U8" s="616">
        <f t="shared" si="1"/>
        <v>0</v>
      </c>
      <c r="V8" s="616">
        <f t="shared" si="1"/>
        <v>0</v>
      </c>
      <c r="W8" s="616">
        <f t="shared" si="1"/>
        <v>0</v>
      </c>
      <c r="X8" s="616">
        <f t="shared" si="1"/>
        <v>0</v>
      </c>
      <c r="Y8" s="616">
        <f t="shared" si="1"/>
        <v>0</v>
      </c>
      <c r="Z8" s="616">
        <f t="shared" si="1"/>
        <v>0</v>
      </c>
      <c r="AA8" s="616">
        <f t="shared" si="1"/>
        <v>0</v>
      </c>
    </row>
    <row r="9" spans="1:28" x14ac:dyDescent="0.25">
      <c r="A9" s="604">
        <v>1.1000000000000001</v>
      </c>
      <c r="B9" s="636" t="s">
        <v>661</v>
      </c>
      <c r="C9" s="625">
        <f t="shared" si="0"/>
        <v>0</v>
      </c>
      <c r="D9" s="616"/>
      <c r="E9" s="616"/>
      <c r="F9" s="616"/>
      <c r="G9" s="616"/>
      <c r="H9" s="616"/>
      <c r="I9" s="616"/>
      <c r="J9" s="616"/>
      <c r="K9" s="616"/>
      <c r="L9" s="616"/>
      <c r="M9" s="616"/>
      <c r="N9" s="616"/>
      <c r="O9" s="616"/>
      <c r="P9" s="616"/>
      <c r="Q9" s="616"/>
      <c r="R9" s="616"/>
      <c r="S9" s="616"/>
      <c r="T9" s="616"/>
      <c r="U9" s="616"/>
      <c r="V9" s="616"/>
      <c r="W9" s="616"/>
      <c r="X9" s="616"/>
      <c r="Y9" s="616"/>
      <c r="Z9" s="616"/>
      <c r="AA9" s="616"/>
    </row>
    <row r="10" spans="1:28" x14ac:dyDescent="0.25">
      <c r="A10" s="604">
        <v>1.2</v>
      </c>
      <c r="B10" s="636" t="s">
        <v>660</v>
      </c>
      <c r="C10" s="625">
        <f t="shared" si="0"/>
        <v>0</v>
      </c>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row>
    <row r="11" spans="1:28" x14ac:dyDescent="0.25">
      <c r="A11" s="604">
        <v>1.3</v>
      </c>
      <c r="B11" s="636" t="s">
        <v>659</v>
      </c>
      <c r="C11" s="625">
        <f t="shared" si="0"/>
        <v>0</v>
      </c>
      <c r="D11" s="616"/>
      <c r="E11" s="616"/>
      <c r="F11" s="616"/>
      <c r="G11" s="616"/>
      <c r="H11" s="616"/>
      <c r="I11" s="616"/>
      <c r="J11" s="616"/>
      <c r="K11" s="616"/>
      <c r="L11" s="616"/>
      <c r="M11" s="616"/>
      <c r="N11" s="616"/>
      <c r="O11" s="616"/>
      <c r="P11" s="616"/>
      <c r="Q11" s="616"/>
      <c r="R11" s="616"/>
      <c r="S11" s="616"/>
      <c r="T11" s="616"/>
      <c r="U11" s="616"/>
      <c r="V11" s="616"/>
      <c r="W11" s="616"/>
      <c r="X11" s="616"/>
      <c r="Y11" s="616"/>
      <c r="Z11" s="616"/>
      <c r="AA11" s="616"/>
    </row>
    <row r="12" spans="1:28" x14ac:dyDescent="0.25">
      <c r="A12" s="604">
        <v>1.4</v>
      </c>
      <c r="B12" s="636" t="s">
        <v>658</v>
      </c>
      <c r="C12" s="625">
        <f t="shared" si="0"/>
        <v>0</v>
      </c>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row>
    <row r="13" spans="1:28" x14ac:dyDescent="0.25">
      <c r="A13" s="604">
        <v>1.5</v>
      </c>
      <c r="B13" s="636" t="s">
        <v>657</v>
      </c>
      <c r="C13" s="732">
        <f t="shared" si="0"/>
        <v>81868405.31615071</v>
      </c>
      <c r="D13" s="617">
        <v>80934583.767792881</v>
      </c>
      <c r="E13" s="617">
        <v>0</v>
      </c>
      <c r="F13" s="617">
        <v>0</v>
      </c>
      <c r="G13" s="617">
        <v>0</v>
      </c>
      <c r="H13" s="617">
        <v>628271.28970149253</v>
      </c>
      <c r="I13" s="617">
        <v>0</v>
      </c>
      <c r="J13" s="617">
        <v>628271.28970149253</v>
      </c>
      <c r="K13" s="617">
        <v>0</v>
      </c>
      <c r="L13" s="617">
        <v>305550.25865633076</v>
      </c>
      <c r="M13" s="617">
        <v>0</v>
      </c>
      <c r="N13" s="617">
        <v>0</v>
      </c>
      <c r="O13" s="617">
        <v>161212.04865633073</v>
      </c>
      <c r="P13" s="617">
        <v>0</v>
      </c>
      <c r="Q13" s="617">
        <v>0</v>
      </c>
      <c r="R13" s="617">
        <v>144338.21</v>
      </c>
      <c r="S13" s="617">
        <v>0</v>
      </c>
      <c r="T13" s="617"/>
      <c r="U13" s="617"/>
      <c r="V13" s="617"/>
      <c r="W13" s="617"/>
      <c r="X13" s="617"/>
      <c r="Y13" s="617"/>
      <c r="Z13" s="617"/>
      <c r="AA13" s="617"/>
    </row>
    <row r="14" spans="1:28" x14ac:dyDescent="0.25">
      <c r="A14" s="604">
        <v>1.6</v>
      </c>
      <c r="B14" s="636" t="s">
        <v>656</v>
      </c>
      <c r="C14" s="732">
        <f t="shared" si="0"/>
        <v>24570137.760917012</v>
      </c>
      <c r="D14" s="617">
        <v>23089711.6596816</v>
      </c>
      <c r="E14" s="617">
        <v>476597.56802415045</v>
      </c>
      <c r="F14" s="617">
        <v>0</v>
      </c>
      <c r="G14" s="617">
        <v>0</v>
      </c>
      <c r="H14" s="617">
        <v>967475.12886282604</v>
      </c>
      <c r="I14" s="617">
        <v>25563.419174641149</v>
      </c>
      <c r="J14" s="617">
        <v>729475.06638844206</v>
      </c>
      <c r="K14" s="617">
        <v>0</v>
      </c>
      <c r="L14" s="617">
        <v>512950.97237258783</v>
      </c>
      <c r="M14" s="617">
        <v>21454.45</v>
      </c>
      <c r="N14" s="617">
        <v>115795.23999999999</v>
      </c>
      <c r="O14" s="617">
        <v>86778.874478599668</v>
      </c>
      <c r="P14" s="617">
        <v>80026.680740703538</v>
      </c>
      <c r="Q14" s="617">
        <v>62765.037153284669</v>
      </c>
      <c r="R14" s="617">
        <v>0</v>
      </c>
      <c r="S14" s="617">
        <v>0</v>
      </c>
      <c r="T14" s="617"/>
      <c r="U14" s="617"/>
      <c r="V14" s="617"/>
      <c r="W14" s="617"/>
      <c r="X14" s="617"/>
      <c r="Y14" s="617"/>
      <c r="Z14" s="617"/>
      <c r="AA14" s="617"/>
    </row>
    <row r="15" spans="1:28" x14ac:dyDescent="0.25">
      <c r="A15" s="648">
        <v>2</v>
      </c>
      <c r="B15" s="611" t="s">
        <v>145</v>
      </c>
      <c r="C15" s="733">
        <f>C17</f>
        <v>26693339.32</v>
      </c>
      <c r="D15" s="733">
        <f>D17</f>
        <v>26693339.32</v>
      </c>
      <c r="E15" s="604"/>
      <c r="F15" s="604"/>
      <c r="G15" s="604"/>
      <c r="H15" s="604"/>
      <c r="I15" s="604"/>
      <c r="J15" s="604"/>
      <c r="K15" s="604"/>
      <c r="L15" s="604"/>
      <c r="M15" s="604"/>
      <c r="N15" s="604"/>
      <c r="O15" s="604"/>
      <c r="P15" s="604"/>
      <c r="Q15" s="604"/>
      <c r="R15" s="604"/>
      <c r="S15" s="604"/>
      <c r="T15" s="604"/>
      <c r="U15" s="604"/>
      <c r="V15" s="604"/>
      <c r="W15" s="604"/>
      <c r="X15" s="604"/>
      <c r="Y15" s="604"/>
      <c r="Z15" s="604"/>
      <c r="AA15" s="604"/>
    </row>
    <row r="16" spans="1:28" x14ac:dyDescent="0.25">
      <c r="A16" s="604">
        <v>2.1</v>
      </c>
      <c r="B16" s="636" t="s">
        <v>661</v>
      </c>
      <c r="C16" s="636"/>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row>
    <row r="17" spans="1:27" x14ac:dyDescent="0.25">
      <c r="A17" s="604">
        <v>2.2000000000000002</v>
      </c>
      <c r="B17" s="636" t="s">
        <v>660</v>
      </c>
      <c r="C17" s="734">
        <f>D17+H17+L17</f>
        <v>26693339.32</v>
      </c>
      <c r="D17" s="617">
        <v>26693339.32</v>
      </c>
      <c r="E17" s="604"/>
      <c r="F17" s="604"/>
      <c r="G17" s="604"/>
      <c r="H17" s="604"/>
      <c r="I17" s="604"/>
      <c r="J17" s="604"/>
      <c r="K17" s="604"/>
      <c r="L17" s="604"/>
      <c r="M17" s="604"/>
      <c r="N17" s="604"/>
      <c r="O17" s="604"/>
      <c r="P17" s="604"/>
      <c r="Q17" s="604"/>
      <c r="R17" s="604"/>
      <c r="S17" s="604"/>
      <c r="T17" s="604"/>
      <c r="U17" s="604"/>
      <c r="V17" s="604"/>
      <c r="W17" s="604"/>
      <c r="X17" s="604"/>
      <c r="Y17" s="604"/>
      <c r="Z17" s="604"/>
      <c r="AA17" s="604"/>
    </row>
    <row r="18" spans="1:27" x14ac:dyDescent="0.25">
      <c r="A18" s="604">
        <v>2.2999999999999998</v>
      </c>
      <c r="B18" s="636" t="s">
        <v>659</v>
      </c>
      <c r="C18" s="636"/>
      <c r="D18" s="604"/>
      <c r="E18" s="604"/>
      <c r="G18" s="604"/>
      <c r="H18" s="604"/>
      <c r="I18" s="604"/>
      <c r="J18" s="604"/>
      <c r="K18" s="604"/>
      <c r="L18" s="604"/>
      <c r="M18" s="604"/>
      <c r="N18" s="604"/>
      <c r="O18" s="604"/>
      <c r="P18" s="604"/>
      <c r="Q18" s="604"/>
      <c r="R18" s="604"/>
      <c r="S18" s="604"/>
      <c r="T18" s="604"/>
      <c r="U18" s="604"/>
      <c r="V18" s="604"/>
      <c r="W18" s="604"/>
      <c r="X18" s="604"/>
      <c r="Y18" s="604"/>
      <c r="Z18" s="604"/>
      <c r="AA18" s="604"/>
    </row>
    <row r="19" spans="1:27" x14ac:dyDescent="0.25">
      <c r="A19" s="604">
        <v>2.4</v>
      </c>
      <c r="B19" s="636" t="s">
        <v>658</v>
      </c>
      <c r="C19" s="636"/>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row>
    <row r="20" spans="1:27" x14ac:dyDescent="0.25">
      <c r="A20" s="604">
        <v>2.5</v>
      </c>
      <c r="B20" s="636" t="s">
        <v>657</v>
      </c>
      <c r="C20" s="636"/>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row>
    <row r="21" spans="1:27" x14ac:dyDescent="0.25">
      <c r="A21" s="604">
        <v>2.6</v>
      </c>
      <c r="B21" s="636" t="s">
        <v>656</v>
      </c>
      <c r="C21" s="636"/>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row>
    <row r="22" spans="1:27" x14ac:dyDescent="0.25">
      <c r="A22" s="648">
        <v>3</v>
      </c>
      <c r="B22" s="647" t="s">
        <v>662</v>
      </c>
      <c r="C22" s="735">
        <f>C27+C28</f>
        <v>13439632.689999999</v>
      </c>
      <c r="D22" s="735">
        <f>D27+D28</f>
        <v>9440912.75</v>
      </c>
      <c r="E22" s="646"/>
      <c r="F22" s="646"/>
      <c r="G22" s="646"/>
      <c r="H22" s="611"/>
      <c r="I22" s="646"/>
      <c r="J22" s="646"/>
      <c r="K22" s="646"/>
      <c r="L22" s="611"/>
      <c r="M22" s="646"/>
      <c r="N22" s="646"/>
      <c r="O22" s="646"/>
      <c r="P22" s="646"/>
      <c r="Q22" s="646"/>
      <c r="R22" s="646"/>
      <c r="S22" s="646"/>
      <c r="T22" s="611"/>
      <c r="U22" s="646"/>
      <c r="V22" s="646"/>
      <c r="W22" s="646"/>
      <c r="X22" s="646"/>
      <c r="Y22" s="646"/>
      <c r="Z22" s="646"/>
      <c r="AA22" s="646"/>
    </row>
    <row r="23" spans="1:27" x14ac:dyDescent="0.25">
      <c r="A23" s="604">
        <v>3.1</v>
      </c>
      <c r="B23" s="636" t="s">
        <v>661</v>
      </c>
      <c r="C23" s="636"/>
      <c r="D23" s="611"/>
      <c r="E23" s="646"/>
      <c r="F23" s="646"/>
      <c r="G23" s="646"/>
      <c r="H23" s="611"/>
      <c r="I23" s="646"/>
      <c r="J23" s="646"/>
      <c r="K23" s="646"/>
      <c r="L23" s="611"/>
      <c r="M23" s="646"/>
      <c r="N23" s="646"/>
      <c r="O23" s="646"/>
      <c r="P23" s="646"/>
      <c r="Q23" s="646"/>
      <c r="R23" s="646"/>
      <c r="S23" s="646"/>
      <c r="T23" s="611"/>
      <c r="U23" s="646"/>
      <c r="V23" s="646"/>
      <c r="W23" s="646"/>
      <c r="X23" s="646"/>
      <c r="Y23" s="646"/>
      <c r="Z23" s="646"/>
      <c r="AA23" s="646"/>
    </row>
    <row r="24" spans="1:27" x14ac:dyDescent="0.25">
      <c r="A24" s="604">
        <v>3.2</v>
      </c>
      <c r="B24" s="636" t="s">
        <v>660</v>
      </c>
      <c r="C24" s="636"/>
      <c r="D24" s="611"/>
      <c r="E24" s="646"/>
      <c r="F24" s="646"/>
      <c r="G24" s="646"/>
      <c r="H24" s="611"/>
      <c r="I24" s="646"/>
      <c r="J24" s="646"/>
      <c r="K24" s="646"/>
      <c r="L24" s="611"/>
      <c r="M24" s="646"/>
      <c r="N24" s="646"/>
      <c r="O24" s="646"/>
      <c r="P24" s="646"/>
      <c r="Q24" s="646"/>
      <c r="R24" s="646"/>
      <c r="S24" s="646"/>
      <c r="T24" s="611"/>
      <c r="U24" s="646"/>
      <c r="V24" s="646"/>
      <c r="W24" s="646"/>
      <c r="X24" s="646"/>
      <c r="Y24" s="646"/>
      <c r="Z24" s="646"/>
      <c r="AA24" s="646"/>
    </row>
    <row r="25" spans="1:27" x14ac:dyDescent="0.25">
      <c r="A25" s="604">
        <v>3.3</v>
      </c>
      <c r="B25" s="636" t="s">
        <v>659</v>
      </c>
      <c r="C25" s="636"/>
      <c r="D25" s="611"/>
      <c r="E25" s="646"/>
      <c r="F25" s="646"/>
      <c r="G25" s="646"/>
      <c r="H25" s="611"/>
      <c r="I25" s="646"/>
      <c r="J25" s="646"/>
      <c r="K25" s="646"/>
      <c r="L25" s="611"/>
      <c r="M25" s="646"/>
      <c r="N25" s="646"/>
      <c r="O25" s="646"/>
      <c r="P25" s="646"/>
      <c r="Q25" s="646"/>
      <c r="R25" s="646"/>
      <c r="S25" s="646"/>
      <c r="T25" s="611"/>
      <c r="U25" s="646"/>
      <c r="V25" s="646"/>
      <c r="W25" s="646"/>
      <c r="X25" s="646"/>
      <c r="Y25" s="646"/>
      <c r="Z25" s="646"/>
      <c r="AA25" s="646"/>
    </row>
    <row r="26" spans="1:27" x14ac:dyDescent="0.25">
      <c r="A26" s="604">
        <v>3.4</v>
      </c>
      <c r="B26" s="636" t="s">
        <v>658</v>
      </c>
      <c r="C26" s="636"/>
      <c r="D26" s="611"/>
      <c r="E26" s="646"/>
      <c r="F26" s="646"/>
      <c r="G26" s="646"/>
      <c r="H26" s="611"/>
      <c r="I26" s="646"/>
      <c r="J26" s="646"/>
      <c r="K26" s="646"/>
      <c r="L26" s="611"/>
      <c r="M26" s="646"/>
      <c r="N26" s="646"/>
      <c r="O26" s="646"/>
      <c r="P26" s="646"/>
      <c r="Q26" s="646"/>
      <c r="R26" s="646"/>
      <c r="S26" s="646"/>
      <c r="T26" s="611"/>
      <c r="U26" s="646"/>
      <c r="V26" s="646"/>
      <c r="W26" s="646"/>
      <c r="X26" s="646"/>
      <c r="Y26" s="646"/>
      <c r="Z26" s="646"/>
      <c r="AA26" s="646"/>
    </row>
    <row r="27" spans="1:27" x14ac:dyDescent="0.25">
      <c r="A27" s="604">
        <v>3.5</v>
      </c>
      <c r="B27" s="636" t="s">
        <v>657</v>
      </c>
      <c r="C27" s="736">
        <f>D27+H27+L27</f>
        <v>9440912.75</v>
      </c>
      <c r="D27" s="719">
        <f>'4. Off-balance'!E28</f>
        <v>9440912.75</v>
      </c>
      <c r="E27" s="646"/>
      <c r="F27" s="646"/>
      <c r="G27" s="646"/>
      <c r="H27" s="611"/>
      <c r="I27" s="646"/>
      <c r="J27" s="646"/>
      <c r="K27" s="646"/>
      <c r="L27" s="611"/>
      <c r="M27" s="646"/>
      <c r="N27" s="646"/>
      <c r="O27" s="646"/>
      <c r="P27" s="646"/>
      <c r="Q27" s="646"/>
      <c r="R27" s="646"/>
      <c r="S27" s="646"/>
      <c r="T27" s="611"/>
      <c r="U27" s="646"/>
      <c r="V27" s="646"/>
      <c r="W27" s="646"/>
      <c r="X27" s="646"/>
      <c r="Y27" s="646"/>
      <c r="Z27" s="646"/>
      <c r="AA27" s="646"/>
    </row>
    <row r="28" spans="1:27" x14ac:dyDescent="0.25">
      <c r="A28" s="604">
        <v>3.6</v>
      </c>
      <c r="B28" s="636" t="s">
        <v>656</v>
      </c>
      <c r="C28" s="736">
        <f>'4. Off-balance'!E27</f>
        <v>3998719.94</v>
      </c>
      <c r="D28" s="636"/>
      <c r="E28" s="646"/>
      <c r="F28" s="646"/>
      <c r="G28" s="646"/>
      <c r="H28" s="611"/>
      <c r="I28" s="646"/>
      <c r="J28" s="646"/>
      <c r="K28" s="646"/>
      <c r="L28" s="611"/>
      <c r="M28" s="646"/>
      <c r="N28" s="646"/>
      <c r="O28" s="646"/>
      <c r="P28" s="646"/>
      <c r="Q28" s="646"/>
      <c r="R28" s="646"/>
      <c r="S28" s="646"/>
      <c r="T28" s="611"/>
      <c r="U28" s="646"/>
      <c r="V28" s="646"/>
      <c r="W28" s="646"/>
      <c r="X28" s="646"/>
      <c r="Y28" s="646"/>
      <c r="Z28" s="646"/>
      <c r="AA28" s="646"/>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3214-8755-473E-89AD-2D4843070975}">
  <dimension ref="A1:AB28"/>
  <sheetViews>
    <sheetView showGridLines="0" topLeftCell="A7" zoomScale="115" zoomScaleNormal="115" workbookViewId="0">
      <selection activeCell="D27" sqref="D27"/>
    </sheetView>
  </sheetViews>
  <sheetFormatPr defaultColWidth="9.140625" defaultRowHeight="12.75" x14ac:dyDescent="0.25"/>
  <cols>
    <col min="1" max="1" width="11.85546875" style="622" bestFit="1" customWidth="1"/>
    <col min="2" max="2" width="90.28515625" style="622" bestFit="1" customWidth="1"/>
    <col min="3" max="3" width="20.140625" style="622" customWidth="1"/>
    <col min="4" max="4" width="17" style="622" customWidth="1"/>
    <col min="5" max="5" width="15" style="622" customWidth="1"/>
    <col min="6" max="6" width="17.140625" style="622" customWidth="1"/>
    <col min="7" max="7" width="15.140625" style="622" customWidth="1"/>
    <col min="8" max="8" width="18.5703125" style="622" customWidth="1"/>
    <col min="9" max="9" width="15" style="622" customWidth="1"/>
    <col min="10" max="10" width="14.85546875" style="622" customWidth="1"/>
    <col min="11" max="11" width="14.5703125" style="622" customWidth="1"/>
    <col min="12" max="12" width="13" style="622" customWidth="1"/>
    <col min="13" max="13" width="16.7109375" style="622" customWidth="1"/>
    <col min="14" max="14" width="19.28515625" style="622" customWidth="1"/>
    <col min="15" max="15" width="20.7109375" style="622" customWidth="1"/>
    <col min="16" max="16" width="20.140625" style="622" customWidth="1"/>
    <col min="17" max="17" width="18.85546875" style="622" customWidth="1"/>
    <col min="18" max="18" width="22.28515625" style="622" customWidth="1"/>
    <col min="19" max="19" width="18.85546875" style="622" customWidth="1"/>
    <col min="20" max="20" width="14.140625" style="622" customWidth="1"/>
    <col min="21" max="22" width="19.140625" style="622" customWidth="1"/>
    <col min="23" max="27" width="17.85546875" style="622" customWidth="1"/>
    <col min="28" max="28" width="12.140625" style="622" bestFit="1" customWidth="1"/>
    <col min="29" max="16384" width="9.140625" style="622"/>
  </cols>
  <sheetData>
    <row r="1" spans="1:28" ht="13.5" x14ac:dyDescent="0.25">
      <c r="A1" s="601" t="s">
        <v>94</v>
      </c>
      <c r="B1" s="115" t="str">
        <f>Info!C2</f>
        <v>სს სილქ ბანკი</v>
      </c>
    </row>
    <row r="2" spans="1:28" x14ac:dyDescent="0.25">
      <c r="A2" s="601" t="s">
        <v>93</v>
      </c>
      <c r="B2" s="600">
        <f>'1. key ratios'!B2</f>
        <v>45565</v>
      </c>
    </row>
    <row r="3" spans="1:28" x14ac:dyDescent="0.25">
      <c r="A3" s="599" t="s">
        <v>710</v>
      </c>
      <c r="C3" s="677"/>
    </row>
    <row r="4" spans="1:28" ht="40.5" customHeight="1" thickBot="1" x14ac:dyDescent="0.3">
      <c r="A4" s="599"/>
      <c r="B4" s="677"/>
      <c r="C4" s="677"/>
    </row>
    <row r="5" spans="1:28" ht="13.5" customHeight="1" x14ac:dyDescent="0.25">
      <c r="A5" s="877" t="s">
        <v>709</v>
      </c>
      <c r="B5" s="878"/>
      <c r="C5" s="874" t="s">
        <v>708</v>
      </c>
      <c r="D5" s="875"/>
      <c r="E5" s="875"/>
      <c r="F5" s="875"/>
      <c r="G5" s="875"/>
      <c r="H5" s="875"/>
      <c r="I5" s="875"/>
      <c r="J5" s="875"/>
      <c r="K5" s="875"/>
      <c r="L5" s="875"/>
      <c r="M5" s="875"/>
      <c r="N5" s="875"/>
      <c r="O5" s="875"/>
      <c r="P5" s="875"/>
      <c r="Q5" s="875"/>
      <c r="R5" s="875"/>
      <c r="S5" s="875"/>
      <c r="T5" s="875"/>
      <c r="U5" s="875"/>
      <c r="V5" s="875"/>
      <c r="W5" s="875"/>
      <c r="X5" s="875"/>
      <c r="Y5" s="875"/>
      <c r="Z5" s="875"/>
      <c r="AA5" s="876"/>
    </row>
    <row r="6" spans="1:28" ht="12" customHeight="1" x14ac:dyDescent="0.25">
      <c r="A6" s="879"/>
      <c r="B6" s="880"/>
      <c r="C6" s="883" t="s">
        <v>157</v>
      </c>
      <c r="D6" s="848" t="s">
        <v>674</v>
      </c>
      <c r="E6" s="848"/>
      <c r="F6" s="848"/>
      <c r="G6" s="848"/>
      <c r="H6" s="869" t="s">
        <v>673</v>
      </c>
      <c r="I6" s="870"/>
      <c r="J6" s="870"/>
      <c r="K6" s="870"/>
      <c r="L6" s="654"/>
      <c r="M6" s="852" t="s">
        <v>672</v>
      </c>
      <c r="N6" s="852"/>
      <c r="O6" s="852"/>
      <c r="P6" s="852"/>
      <c r="Q6" s="852"/>
      <c r="R6" s="852"/>
      <c r="S6" s="850"/>
      <c r="T6" s="654"/>
      <c r="U6" s="852" t="s">
        <v>671</v>
      </c>
      <c r="V6" s="852"/>
      <c r="W6" s="852"/>
      <c r="X6" s="852"/>
      <c r="Y6" s="852"/>
      <c r="Z6" s="852"/>
      <c r="AA6" s="873"/>
    </row>
    <row r="7" spans="1:28" ht="38.25" x14ac:dyDescent="0.25">
      <c r="A7" s="881"/>
      <c r="B7" s="882"/>
      <c r="C7" s="884"/>
      <c r="D7" s="652"/>
      <c r="E7" s="618" t="s">
        <v>669</v>
      </c>
      <c r="F7" s="618" t="s">
        <v>668</v>
      </c>
      <c r="G7" s="618" t="s">
        <v>670</v>
      </c>
      <c r="H7" s="623"/>
      <c r="I7" s="618" t="s">
        <v>669</v>
      </c>
      <c r="J7" s="618" t="s">
        <v>668</v>
      </c>
      <c r="K7" s="618" t="s">
        <v>670</v>
      </c>
      <c r="L7" s="619"/>
      <c r="M7" s="618" t="s">
        <v>669</v>
      </c>
      <c r="N7" s="618" t="s">
        <v>707</v>
      </c>
      <c r="O7" s="618" t="s">
        <v>706</v>
      </c>
      <c r="P7" s="618" t="s">
        <v>705</v>
      </c>
      <c r="Q7" s="618" t="s">
        <v>704</v>
      </c>
      <c r="R7" s="618" t="s">
        <v>703</v>
      </c>
      <c r="S7" s="618" t="s">
        <v>663</v>
      </c>
      <c r="T7" s="619"/>
      <c r="U7" s="618" t="s">
        <v>669</v>
      </c>
      <c r="V7" s="618" t="s">
        <v>707</v>
      </c>
      <c r="W7" s="618" t="s">
        <v>706</v>
      </c>
      <c r="X7" s="618" t="s">
        <v>705</v>
      </c>
      <c r="Y7" s="618" t="s">
        <v>704</v>
      </c>
      <c r="Z7" s="618" t="s">
        <v>703</v>
      </c>
      <c r="AA7" s="618" t="s">
        <v>663</v>
      </c>
    </row>
    <row r="8" spans="1:28" x14ac:dyDescent="0.25">
      <c r="A8" s="737">
        <v>1</v>
      </c>
      <c r="B8" s="738" t="s">
        <v>638</v>
      </c>
      <c r="C8" s="739">
        <f>'22. Quality'!C8</f>
        <v>106438543.07706772</v>
      </c>
      <c r="D8" s="739">
        <f>'22. Quality'!D8</f>
        <v>104024295.42747448</v>
      </c>
      <c r="E8" s="739">
        <f>'22. Quality'!E8</f>
        <v>476597.56802415045</v>
      </c>
      <c r="F8" s="739">
        <f>'22. Quality'!F8</f>
        <v>0</v>
      </c>
      <c r="G8" s="739">
        <f>'22. Quality'!G8</f>
        <v>0</v>
      </c>
      <c r="H8" s="739">
        <f>'22. Quality'!H8</f>
        <v>1595746.4185643187</v>
      </c>
      <c r="I8" s="739">
        <f>'22. Quality'!I8</f>
        <v>25563.419174641149</v>
      </c>
      <c r="J8" s="739">
        <f>'22. Quality'!J8</f>
        <v>1357746.3560899347</v>
      </c>
      <c r="K8" s="739">
        <f>'22. Quality'!K8</f>
        <v>0</v>
      </c>
      <c r="L8" s="739">
        <f>'22. Quality'!L8</f>
        <v>818501.23102891864</v>
      </c>
      <c r="M8" s="739">
        <f>'22. Quality'!M8</f>
        <v>21454.45</v>
      </c>
      <c r="N8" s="739">
        <f>'22. Quality'!N8</f>
        <v>115795.23999999999</v>
      </c>
      <c r="O8" s="739">
        <f>'22. Quality'!O8</f>
        <v>247990.9231349304</v>
      </c>
      <c r="P8" s="739">
        <f>'22. Quality'!P8</f>
        <v>80026.680740703538</v>
      </c>
      <c r="Q8" s="739">
        <f>'22. Quality'!Q8</f>
        <v>62765.037153284669</v>
      </c>
      <c r="R8" s="739">
        <f>'22. Quality'!R8</f>
        <v>144338.21</v>
      </c>
      <c r="S8" s="739">
        <f>'22. Quality'!S8</f>
        <v>0</v>
      </c>
      <c r="T8" s="604"/>
      <c r="U8" s="604"/>
      <c r="V8" s="604"/>
      <c r="W8" s="604"/>
      <c r="X8" s="604"/>
      <c r="Y8" s="604"/>
      <c r="Z8" s="604"/>
      <c r="AA8" s="663"/>
      <c r="AB8" s="624"/>
    </row>
    <row r="9" spans="1:28" x14ac:dyDescent="0.25">
      <c r="A9" s="676">
        <v>1.1000000000000001</v>
      </c>
      <c r="B9" s="740" t="s">
        <v>702</v>
      </c>
      <c r="C9" s="741">
        <v>89906749.304338604</v>
      </c>
      <c r="D9" s="617">
        <v>88082870.370635852</v>
      </c>
      <c r="E9" s="617">
        <v>382793.71426737902</v>
      </c>
      <c r="F9" s="617">
        <v>0</v>
      </c>
      <c r="G9" s="617">
        <v>0</v>
      </c>
      <c r="H9" s="617">
        <v>1376096.2750464177</v>
      </c>
      <c r="I9" s="617">
        <v>3145.63</v>
      </c>
      <c r="J9" s="617">
        <v>1300617.3552517565</v>
      </c>
      <c r="K9" s="617">
        <v>0</v>
      </c>
      <c r="L9" s="617">
        <v>447782.65865633078</v>
      </c>
      <c r="M9" s="617">
        <v>0</v>
      </c>
      <c r="N9" s="617">
        <v>72076.94</v>
      </c>
      <c r="O9" s="617">
        <v>161212.04865633073</v>
      </c>
      <c r="P9" s="617">
        <v>0</v>
      </c>
      <c r="Q9" s="617">
        <v>0</v>
      </c>
      <c r="R9" s="617">
        <v>144338.21</v>
      </c>
      <c r="S9" s="617">
        <v>0</v>
      </c>
      <c r="T9" s="604"/>
      <c r="U9" s="604"/>
      <c r="V9" s="604"/>
      <c r="W9" s="604"/>
      <c r="X9" s="604"/>
      <c r="Y9" s="604"/>
      <c r="Z9" s="604"/>
      <c r="AA9" s="663"/>
      <c r="AB9" s="624"/>
    </row>
    <row r="10" spans="1:28" x14ac:dyDescent="0.25">
      <c r="A10" s="742" t="s">
        <v>248</v>
      </c>
      <c r="B10" s="743" t="s">
        <v>701</v>
      </c>
      <c r="C10" s="744">
        <v>75745917.054328799</v>
      </c>
      <c r="D10" s="617">
        <v>74044251.40042071</v>
      </c>
      <c r="E10" s="617">
        <v>127051.66369820172</v>
      </c>
      <c r="F10" s="617">
        <v>0</v>
      </c>
      <c r="G10" s="617">
        <v>0</v>
      </c>
      <c r="H10" s="617">
        <v>1325959.9352517566</v>
      </c>
      <c r="I10" s="617">
        <v>0</v>
      </c>
      <c r="J10" s="617">
        <v>1295666.1252517565</v>
      </c>
      <c r="K10" s="617">
        <v>0</v>
      </c>
      <c r="L10" s="617">
        <v>375705.71865633078</v>
      </c>
      <c r="M10" s="617">
        <v>0</v>
      </c>
      <c r="N10" s="617">
        <v>0</v>
      </c>
      <c r="O10" s="617">
        <v>161212.04865633073</v>
      </c>
      <c r="P10" s="617">
        <v>0</v>
      </c>
      <c r="Q10" s="617">
        <v>0</v>
      </c>
      <c r="R10" s="617">
        <v>144338.21</v>
      </c>
      <c r="S10" s="617">
        <v>0</v>
      </c>
      <c r="T10" s="604"/>
      <c r="U10" s="604"/>
      <c r="V10" s="604"/>
      <c r="W10" s="604"/>
      <c r="X10" s="604"/>
      <c r="Y10" s="604"/>
      <c r="Z10" s="604"/>
      <c r="AA10" s="663"/>
      <c r="AB10" s="624"/>
    </row>
    <row r="11" spans="1:28" x14ac:dyDescent="0.25">
      <c r="A11" s="745" t="s">
        <v>700</v>
      </c>
      <c r="B11" s="746" t="s">
        <v>699</v>
      </c>
      <c r="C11" s="747">
        <v>49510744.19939588</v>
      </c>
      <c r="D11" s="617">
        <v>47809078.545487791</v>
      </c>
      <c r="E11" s="617">
        <v>127051.66369820172</v>
      </c>
      <c r="F11" s="617">
        <v>0</v>
      </c>
      <c r="G11" s="617">
        <v>0</v>
      </c>
      <c r="H11" s="617">
        <v>1325959.9352517566</v>
      </c>
      <c r="I11" s="617">
        <v>0</v>
      </c>
      <c r="J11" s="617">
        <v>1295666.1252517565</v>
      </c>
      <c r="K11" s="617">
        <v>0</v>
      </c>
      <c r="L11" s="617">
        <v>375705.71865633078</v>
      </c>
      <c r="M11" s="617">
        <v>0</v>
      </c>
      <c r="N11" s="617">
        <v>0</v>
      </c>
      <c r="O11" s="617">
        <v>161212.04865633073</v>
      </c>
      <c r="P11" s="617">
        <v>0</v>
      </c>
      <c r="Q11" s="617">
        <v>0</v>
      </c>
      <c r="R11" s="617">
        <v>144338.21</v>
      </c>
      <c r="S11" s="617">
        <v>0</v>
      </c>
      <c r="T11" s="604"/>
      <c r="U11" s="604"/>
      <c r="V11" s="604"/>
      <c r="W11" s="604"/>
      <c r="X11" s="604"/>
      <c r="Y11" s="604"/>
      <c r="Z11" s="604"/>
      <c r="AA11" s="663"/>
      <c r="AB11" s="624"/>
    </row>
    <row r="12" spans="1:28" x14ac:dyDescent="0.25">
      <c r="A12" s="745" t="s">
        <v>698</v>
      </c>
      <c r="B12" s="746" t="s">
        <v>697</v>
      </c>
      <c r="C12" s="747">
        <v>12508779.560884485</v>
      </c>
      <c r="D12" s="617">
        <v>12508779.560884485</v>
      </c>
      <c r="E12" s="617">
        <v>0</v>
      </c>
      <c r="F12" s="617">
        <v>0</v>
      </c>
      <c r="G12" s="617">
        <v>0</v>
      </c>
      <c r="H12" s="617">
        <v>0</v>
      </c>
      <c r="I12" s="617">
        <v>0</v>
      </c>
      <c r="J12" s="617">
        <v>0</v>
      </c>
      <c r="K12" s="617">
        <v>0</v>
      </c>
      <c r="L12" s="617">
        <v>0</v>
      </c>
      <c r="M12" s="617">
        <v>0</v>
      </c>
      <c r="N12" s="617">
        <v>0</v>
      </c>
      <c r="O12" s="617">
        <v>0</v>
      </c>
      <c r="P12" s="617">
        <v>0</v>
      </c>
      <c r="Q12" s="617">
        <v>0</v>
      </c>
      <c r="R12" s="617">
        <v>0</v>
      </c>
      <c r="S12" s="617">
        <v>0</v>
      </c>
      <c r="T12" s="604"/>
      <c r="U12" s="604"/>
      <c r="V12" s="604"/>
      <c r="W12" s="604"/>
      <c r="X12" s="604"/>
      <c r="Y12" s="604"/>
      <c r="Z12" s="604"/>
      <c r="AA12" s="663"/>
      <c r="AB12" s="624"/>
    </row>
    <row r="13" spans="1:28" x14ac:dyDescent="0.25">
      <c r="A13" s="745" t="s">
        <v>696</v>
      </c>
      <c r="B13" s="746" t="s">
        <v>695</v>
      </c>
      <c r="C13" s="747">
        <v>6809386.035917744</v>
      </c>
      <c r="D13" s="617">
        <v>6809386.035917744</v>
      </c>
      <c r="E13" s="617">
        <v>0</v>
      </c>
      <c r="F13" s="617">
        <v>0</v>
      </c>
      <c r="G13" s="617">
        <v>0</v>
      </c>
      <c r="H13" s="617">
        <v>0</v>
      </c>
      <c r="I13" s="617">
        <v>0</v>
      </c>
      <c r="J13" s="617">
        <v>0</v>
      </c>
      <c r="K13" s="617">
        <v>0</v>
      </c>
      <c r="L13" s="617">
        <v>0</v>
      </c>
      <c r="M13" s="617">
        <v>0</v>
      </c>
      <c r="N13" s="617">
        <v>0</v>
      </c>
      <c r="O13" s="617">
        <v>0</v>
      </c>
      <c r="P13" s="617">
        <v>0</v>
      </c>
      <c r="Q13" s="617">
        <v>0</v>
      </c>
      <c r="R13" s="617">
        <v>0</v>
      </c>
      <c r="S13" s="617">
        <v>0</v>
      </c>
      <c r="T13" s="604"/>
      <c r="U13" s="604"/>
      <c r="V13" s="604"/>
      <c r="W13" s="604"/>
      <c r="X13" s="604"/>
      <c r="Y13" s="604"/>
      <c r="Z13" s="604"/>
      <c r="AA13" s="663"/>
      <c r="AB13" s="624"/>
    </row>
    <row r="14" spans="1:28" x14ac:dyDescent="0.25">
      <c r="A14" s="745" t="s">
        <v>694</v>
      </c>
      <c r="B14" s="746" t="s">
        <v>693</v>
      </c>
      <c r="C14" s="747">
        <v>6917007.2581306538</v>
      </c>
      <c r="D14" s="617">
        <v>6917007.2581306538</v>
      </c>
      <c r="E14" s="617">
        <v>0</v>
      </c>
      <c r="F14" s="617">
        <v>0</v>
      </c>
      <c r="G14" s="617">
        <v>0</v>
      </c>
      <c r="H14" s="617">
        <v>0</v>
      </c>
      <c r="I14" s="617">
        <v>0</v>
      </c>
      <c r="J14" s="617">
        <v>0</v>
      </c>
      <c r="K14" s="617">
        <v>0</v>
      </c>
      <c r="L14" s="617">
        <v>0</v>
      </c>
      <c r="M14" s="617">
        <v>0</v>
      </c>
      <c r="N14" s="617">
        <v>0</v>
      </c>
      <c r="O14" s="617">
        <v>0</v>
      </c>
      <c r="P14" s="617">
        <v>0</v>
      </c>
      <c r="Q14" s="617">
        <v>0</v>
      </c>
      <c r="R14" s="617">
        <v>0</v>
      </c>
      <c r="S14" s="617">
        <v>0</v>
      </c>
      <c r="T14" s="604"/>
      <c r="U14" s="604"/>
      <c r="V14" s="604"/>
      <c r="W14" s="604"/>
      <c r="X14" s="604"/>
      <c r="Y14" s="604"/>
      <c r="Z14" s="604"/>
      <c r="AA14" s="663"/>
      <c r="AB14" s="624"/>
    </row>
    <row r="15" spans="1:28" x14ac:dyDescent="0.25">
      <c r="A15" s="748">
        <v>1.2</v>
      </c>
      <c r="B15" s="675" t="s">
        <v>692</v>
      </c>
      <c r="C15" s="749">
        <v>1595482.1108053918</v>
      </c>
      <c r="D15" s="617">
        <v>1045286.1878835291</v>
      </c>
      <c r="E15" s="617">
        <v>24492.333459090874</v>
      </c>
      <c r="F15" s="617">
        <v>0</v>
      </c>
      <c r="G15" s="617">
        <v>0</v>
      </c>
      <c r="H15" s="617">
        <v>251241.35029801034</v>
      </c>
      <c r="I15" s="617">
        <v>125.82520000000001</v>
      </c>
      <c r="J15" s="617">
        <v>235887.30532110488</v>
      </c>
      <c r="K15" s="617">
        <v>0</v>
      </c>
      <c r="L15" s="617">
        <v>298954.57262385235</v>
      </c>
      <c r="M15" s="617">
        <v>0</v>
      </c>
      <c r="N15" s="617">
        <v>72076.94</v>
      </c>
      <c r="O15" s="617">
        <v>103998.36612527787</v>
      </c>
      <c r="P15" s="617">
        <v>0</v>
      </c>
      <c r="Q15" s="617">
        <v>0</v>
      </c>
      <c r="R15" s="617">
        <v>84638.210696971815</v>
      </c>
      <c r="S15" s="617">
        <v>0</v>
      </c>
      <c r="T15" s="604"/>
      <c r="U15" s="604"/>
      <c r="V15" s="604"/>
      <c r="W15" s="604"/>
      <c r="X15" s="604"/>
      <c r="Y15" s="604"/>
      <c r="Z15" s="604"/>
      <c r="AA15" s="663"/>
      <c r="AB15" s="624"/>
    </row>
    <row r="16" spans="1:28" x14ac:dyDescent="0.25">
      <c r="A16" s="676">
        <v>1.3</v>
      </c>
      <c r="B16" s="675" t="s">
        <v>691</v>
      </c>
      <c r="C16" s="674">
        <f t="shared" ref="C16:S16" si="0">C17+C19</f>
        <v>1519031164.2534769</v>
      </c>
      <c r="D16" s="674">
        <f t="shared" si="0"/>
        <v>1515661349.6034768</v>
      </c>
      <c r="E16" s="674">
        <f t="shared" si="0"/>
        <v>698803.20000000007</v>
      </c>
      <c r="F16" s="674">
        <f t="shared" si="0"/>
        <v>0</v>
      </c>
      <c r="G16" s="674">
        <f t="shared" si="0"/>
        <v>0</v>
      </c>
      <c r="H16" s="674">
        <f t="shared" si="0"/>
        <v>2561823.4499999993</v>
      </c>
      <c r="I16" s="674">
        <f t="shared" si="0"/>
        <v>10918.8</v>
      </c>
      <c r="J16" s="674">
        <f t="shared" si="0"/>
        <v>2441716.649999999</v>
      </c>
      <c r="K16" s="674">
        <f t="shared" si="0"/>
        <v>0</v>
      </c>
      <c r="L16" s="674">
        <f t="shared" si="0"/>
        <v>807991.20000000007</v>
      </c>
      <c r="M16" s="674">
        <f t="shared" si="0"/>
        <v>0</v>
      </c>
      <c r="N16" s="674">
        <f t="shared" si="0"/>
        <v>177430.5</v>
      </c>
      <c r="O16" s="674">
        <f t="shared" si="0"/>
        <v>267510.59999999998</v>
      </c>
      <c r="P16" s="674">
        <f t="shared" si="0"/>
        <v>0</v>
      </c>
      <c r="Q16" s="674">
        <f t="shared" si="0"/>
        <v>0</v>
      </c>
      <c r="R16" s="674">
        <f t="shared" si="0"/>
        <v>245673</v>
      </c>
      <c r="S16" s="674">
        <f t="shared" si="0"/>
        <v>0</v>
      </c>
      <c r="T16" s="673"/>
      <c r="U16" s="673"/>
      <c r="V16" s="673"/>
      <c r="W16" s="673"/>
      <c r="X16" s="673"/>
      <c r="Y16" s="673"/>
      <c r="Z16" s="673"/>
      <c r="AA16" s="672"/>
      <c r="AB16" s="624"/>
    </row>
    <row r="17" spans="1:28" ht="25.5" x14ac:dyDescent="0.25">
      <c r="A17" s="671" t="s">
        <v>690</v>
      </c>
      <c r="B17" s="750" t="s">
        <v>689</v>
      </c>
      <c r="C17" s="667">
        <f>D17+H17+L17</f>
        <v>89839191.870512813</v>
      </c>
      <c r="D17" s="616">
        <v>88017128.486810073</v>
      </c>
      <c r="E17" s="616">
        <v>382793.71426737902</v>
      </c>
      <c r="F17" s="616">
        <v>0</v>
      </c>
      <c r="G17" s="616">
        <v>0</v>
      </c>
      <c r="H17" s="616">
        <v>1374280.7250464177</v>
      </c>
      <c r="I17" s="616">
        <v>3145.63</v>
      </c>
      <c r="J17" s="616">
        <v>1300617.3552517565</v>
      </c>
      <c r="K17" s="616">
        <v>0</v>
      </c>
      <c r="L17" s="616">
        <v>447782.65865633078</v>
      </c>
      <c r="M17" s="616">
        <v>0</v>
      </c>
      <c r="N17" s="616">
        <v>72076.94</v>
      </c>
      <c r="O17" s="616">
        <v>161212.04865633073</v>
      </c>
      <c r="P17" s="616">
        <v>0</v>
      </c>
      <c r="Q17" s="616">
        <v>0</v>
      </c>
      <c r="R17" s="616">
        <v>144338.21</v>
      </c>
      <c r="S17" s="616">
        <v>0</v>
      </c>
      <c r="T17" s="604"/>
      <c r="U17" s="604"/>
      <c r="V17" s="604"/>
      <c r="W17" s="604"/>
      <c r="X17" s="604"/>
      <c r="Y17" s="604"/>
      <c r="Z17" s="604"/>
      <c r="AA17" s="663"/>
      <c r="AB17" s="624"/>
    </row>
    <row r="18" spans="1:28" ht="25.5" x14ac:dyDescent="0.25">
      <c r="A18" s="669" t="s">
        <v>688</v>
      </c>
      <c r="B18" s="668" t="s">
        <v>687</v>
      </c>
      <c r="C18" s="667">
        <f>D18+H18+L18</f>
        <v>75025481.746836424</v>
      </c>
      <c r="D18" s="616">
        <v>73323816.092928335</v>
      </c>
      <c r="E18" s="616">
        <v>127051.66369820172</v>
      </c>
      <c r="F18" s="616">
        <v>0</v>
      </c>
      <c r="G18" s="616">
        <v>0</v>
      </c>
      <c r="H18" s="616">
        <v>1325959.9352517566</v>
      </c>
      <c r="I18" s="616">
        <v>0</v>
      </c>
      <c r="J18" s="616">
        <v>1295666.1252517565</v>
      </c>
      <c r="K18" s="616">
        <v>0</v>
      </c>
      <c r="L18" s="616">
        <v>375705.71865633078</v>
      </c>
      <c r="M18" s="616">
        <v>0</v>
      </c>
      <c r="N18" s="616">
        <v>0</v>
      </c>
      <c r="O18" s="616">
        <v>161212.04865633073</v>
      </c>
      <c r="P18" s="616">
        <v>0</v>
      </c>
      <c r="Q18" s="616">
        <v>0</v>
      </c>
      <c r="R18" s="616">
        <v>144338.21</v>
      </c>
      <c r="S18" s="616">
        <v>0</v>
      </c>
      <c r="T18" s="604"/>
      <c r="U18" s="604"/>
      <c r="V18" s="604"/>
      <c r="W18" s="604"/>
      <c r="X18" s="604"/>
      <c r="Y18" s="604"/>
      <c r="Z18" s="604"/>
      <c r="AA18" s="663"/>
      <c r="AB18" s="624"/>
    </row>
    <row r="19" spans="1:28" x14ac:dyDescent="0.25">
      <c r="A19" s="671" t="s">
        <v>686</v>
      </c>
      <c r="B19" s="670" t="s">
        <v>685</v>
      </c>
      <c r="C19" s="667">
        <f>D19+H19+L19</f>
        <v>1429191972.3829641</v>
      </c>
      <c r="D19" s="616">
        <v>1427644221.1166668</v>
      </c>
      <c r="E19" s="616">
        <v>316009.48573262105</v>
      </c>
      <c r="F19" s="616">
        <v>0</v>
      </c>
      <c r="G19" s="616">
        <v>0</v>
      </c>
      <c r="H19" s="616">
        <v>1187542.7249535813</v>
      </c>
      <c r="I19" s="616">
        <v>7773.1699999999992</v>
      </c>
      <c r="J19" s="616">
        <v>1141099.2947482425</v>
      </c>
      <c r="K19" s="616">
        <v>0</v>
      </c>
      <c r="L19" s="616">
        <v>360208.54134366929</v>
      </c>
      <c r="M19" s="616">
        <v>0</v>
      </c>
      <c r="N19" s="616">
        <v>105353.56</v>
      </c>
      <c r="O19" s="616">
        <v>106298.55134366924</v>
      </c>
      <c r="P19" s="616">
        <v>0</v>
      </c>
      <c r="Q19" s="616">
        <v>0</v>
      </c>
      <c r="R19" s="616">
        <v>101334.79000000001</v>
      </c>
      <c r="S19" s="616">
        <v>0</v>
      </c>
      <c r="T19" s="604"/>
      <c r="U19" s="604"/>
      <c r="V19" s="604"/>
      <c r="W19" s="604"/>
      <c r="X19" s="604"/>
      <c r="Y19" s="604"/>
      <c r="Z19" s="604"/>
      <c r="AA19" s="663"/>
      <c r="AB19" s="624"/>
    </row>
    <row r="20" spans="1:28" x14ac:dyDescent="0.25">
      <c r="A20" s="669" t="s">
        <v>684</v>
      </c>
      <c r="B20" s="668" t="s">
        <v>683</v>
      </c>
      <c r="C20" s="667">
        <f>D20+H20+L20</f>
        <v>66384012.209379382</v>
      </c>
      <c r="D20" s="616">
        <v>64965630.76328747</v>
      </c>
      <c r="E20" s="616">
        <v>140458.93630179827</v>
      </c>
      <c r="F20" s="616">
        <v>0</v>
      </c>
      <c r="G20" s="616">
        <v>0</v>
      </c>
      <c r="H20" s="616">
        <v>1163526.4647482424</v>
      </c>
      <c r="I20" s="616">
        <v>0</v>
      </c>
      <c r="J20" s="616">
        <v>1131037.1747482424</v>
      </c>
      <c r="K20" s="616">
        <v>0</v>
      </c>
      <c r="L20" s="616">
        <v>254854.98134366923</v>
      </c>
      <c r="M20" s="616">
        <v>0</v>
      </c>
      <c r="N20" s="616">
        <v>0</v>
      </c>
      <c r="O20" s="616">
        <v>106298.55134366924</v>
      </c>
      <c r="P20" s="616">
        <v>0</v>
      </c>
      <c r="Q20" s="616">
        <v>0</v>
      </c>
      <c r="R20" s="616">
        <v>101334.79000000001</v>
      </c>
      <c r="S20" s="616">
        <v>0</v>
      </c>
      <c r="T20" s="604"/>
      <c r="U20" s="604"/>
      <c r="V20" s="604"/>
      <c r="W20" s="604"/>
      <c r="X20" s="604"/>
      <c r="Y20" s="604"/>
      <c r="Z20" s="604"/>
      <c r="AA20" s="663"/>
      <c r="AB20" s="624"/>
    </row>
    <row r="21" spans="1:28" x14ac:dyDescent="0.25">
      <c r="A21" s="666">
        <v>1.4</v>
      </c>
      <c r="B21" s="665" t="s">
        <v>682</v>
      </c>
      <c r="C21" s="664"/>
      <c r="D21" s="616"/>
      <c r="E21" s="616"/>
      <c r="F21" s="616"/>
      <c r="G21" s="616"/>
      <c r="H21" s="616"/>
      <c r="I21" s="616"/>
      <c r="J21" s="616"/>
      <c r="K21" s="616"/>
      <c r="L21" s="616"/>
      <c r="M21" s="616"/>
      <c r="N21" s="616"/>
      <c r="O21" s="616"/>
      <c r="P21" s="616"/>
      <c r="Q21" s="616"/>
      <c r="R21" s="616"/>
      <c r="S21" s="616"/>
      <c r="T21" s="604"/>
      <c r="U21" s="604"/>
      <c r="V21" s="604"/>
      <c r="W21" s="604"/>
      <c r="X21" s="604"/>
      <c r="Y21" s="604"/>
      <c r="Z21" s="604"/>
      <c r="AA21" s="663"/>
      <c r="AB21" s="624"/>
    </row>
    <row r="22" spans="1:28" ht="13.5" thickBot="1" x14ac:dyDescent="0.3">
      <c r="A22" s="662">
        <v>1.5</v>
      </c>
      <c r="B22" s="661" t="s">
        <v>681</v>
      </c>
      <c r="C22" s="660"/>
      <c r="D22" s="659"/>
      <c r="E22" s="659"/>
      <c r="F22" s="659"/>
      <c r="G22" s="659"/>
      <c r="H22" s="659"/>
      <c r="I22" s="659"/>
      <c r="J22" s="659"/>
      <c r="K22" s="659"/>
      <c r="L22" s="659"/>
      <c r="M22" s="659"/>
      <c r="N22" s="659"/>
      <c r="O22" s="659"/>
      <c r="P22" s="659"/>
      <c r="Q22" s="659"/>
      <c r="R22" s="659"/>
      <c r="S22" s="659"/>
      <c r="T22" s="658"/>
      <c r="U22" s="658"/>
      <c r="V22" s="658"/>
      <c r="W22" s="658"/>
      <c r="X22" s="658"/>
      <c r="Y22" s="658"/>
      <c r="Z22" s="658"/>
      <c r="AA22" s="657"/>
      <c r="AB22" s="624"/>
    </row>
    <row r="25" spans="1:28" s="603" customFormat="1" x14ac:dyDescent="0.25">
      <c r="C25" s="624"/>
      <c r="D25" s="624"/>
      <c r="E25" s="624"/>
      <c r="H25" s="624"/>
      <c r="I25" s="624"/>
      <c r="J25" s="624"/>
      <c r="L25" s="624"/>
      <c r="O25" s="624"/>
      <c r="P25" s="624"/>
      <c r="Q25" s="624"/>
      <c r="R25" s="624"/>
    </row>
    <row r="28" spans="1:28" x14ac:dyDescent="0.25">
      <c r="C28" s="640"/>
    </row>
  </sheetData>
  <mergeCells count="7">
    <mergeCell ref="U6:AA6"/>
    <mergeCell ref="C5:AA5"/>
    <mergeCell ref="A5:B7"/>
    <mergeCell ref="D6:G6"/>
    <mergeCell ref="C6:C7"/>
    <mergeCell ref="H6:K6"/>
    <mergeCell ref="M6:S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6453-CD4B-4FE9-8A55-BC0FD383986F}">
  <dimension ref="A1:O38"/>
  <sheetViews>
    <sheetView showGridLines="0" topLeftCell="C12" zoomScaleNormal="100" workbookViewId="0">
      <selection activeCell="M23" sqref="M23"/>
    </sheetView>
  </sheetViews>
  <sheetFormatPr defaultColWidth="9.140625" defaultRowHeight="12.75" x14ac:dyDescent="0.25"/>
  <cols>
    <col min="1" max="1" width="11.85546875" style="622" bestFit="1" customWidth="1"/>
    <col min="2" max="2" width="93.42578125" style="622" customWidth="1"/>
    <col min="3" max="3" width="14.5703125" style="622" customWidth="1"/>
    <col min="4" max="5" width="16.140625" style="622" customWidth="1"/>
    <col min="6" max="6" width="16.140625" style="649" customWidth="1"/>
    <col min="7" max="7" width="20.7109375" style="649" customWidth="1"/>
    <col min="8" max="8" width="16.140625" style="622" customWidth="1"/>
    <col min="9" max="11" width="16.140625" style="649" customWidth="1"/>
    <col min="12" max="12" width="21" style="649" customWidth="1"/>
    <col min="13" max="13" width="12.5703125" style="649" customWidth="1"/>
    <col min="14" max="14" width="12.5703125" style="622" customWidth="1"/>
    <col min="15" max="16384" width="9.140625" style="622"/>
  </cols>
  <sheetData>
    <row r="1" spans="1:15" ht="13.5" x14ac:dyDescent="0.25">
      <c r="A1" s="601" t="s">
        <v>94</v>
      </c>
      <c r="B1" s="115" t="str">
        <f>Info!C2</f>
        <v>სს სილქ ბანკი</v>
      </c>
      <c r="F1" s="622"/>
      <c r="G1" s="622"/>
      <c r="I1" s="622"/>
      <c r="J1" s="622"/>
      <c r="K1" s="622"/>
      <c r="L1" s="622"/>
      <c r="M1" s="622"/>
    </row>
    <row r="2" spans="1:15" x14ac:dyDescent="0.25">
      <c r="A2" s="601" t="s">
        <v>93</v>
      </c>
      <c r="B2" s="600">
        <f>'1. key ratios'!B2</f>
        <v>45565</v>
      </c>
      <c r="F2" s="622"/>
      <c r="G2" s="622"/>
      <c r="I2" s="622"/>
      <c r="J2" s="622"/>
      <c r="K2" s="622"/>
      <c r="L2" s="622"/>
      <c r="M2" s="622"/>
    </row>
    <row r="3" spans="1:15" x14ac:dyDescent="0.25">
      <c r="A3" s="599" t="s">
        <v>714</v>
      </c>
      <c r="F3" s="622"/>
      <c r="G3" s="622"/>
      <c r="I3" s="622"/>
      <c r="J3" s="622"/>
      <c r="K3" s="622"/>
      <c r="L3" s="622"/>
      <c r="M3" s="622"/>
    </row>
    <row r="4" spans="1:15" ht="40.5" customHeight="1" x14ac:dyDescent="0.25">
      <c r="F4" s="622"/>
      <c r="G4" s="622"/>
      <c r="I4" s="622"/>
      <c r="J4" s="622"/>
      <c r="K4" s="622"/>
      <c r="L4" s="622"/>
      <c r="M4" s="622"/>
    </row>
    <row r="5" spans="1:15" ht="37.5" customHeight="1" x14ac:dyDescent="0.25">
      <c r="A5" s="835" t="s">
        <v>713</v>
      </c>
      <c r="B5" s="836"/>
      <c r="C5" s="885" t="s">
        <v>588</v>
      </c>
      <c r="D5" s="886"/>
      <c r="E5" s="886"/>
      <c r="F5" s="886"/>
      <c r="G5" s="886"/>
      <c r="H5" s="885" t="s">
        <v>712</v>
      </c>
      <c r="I5" s="887"/>
      <c r="J5" s="887"/>
      <c r="K5" s="887"/>
      <c r="L5" s="888"/>
      <c r="M5" s="755"/>
    </row>
    <row r="6" spans="1:15" ht="39.6" customHeight="1" x14ac:dyDescent="0.25">
      <c r="A6" s="839"/>
      <c r="B6" s="840"/>
      <c r="C6" s="680"/>
      <c r="D6" s="620" t="s">
        <v>674</v>
      </c>
      <c r="E6" s="620" t="s">
        <v>673</v>
      </c>
      <c r="F6" s="620" t="s">
        <v>672</v>
      </c>
      <c r="G6" s="620" t="s">
        <v>671</v>
      </c>
      <c r="H6" s="619"/>
      <c r="I6" s="620" t="s">
        <v>674</v>
      </c>
      <c r="J6" s="620" t="s">
        <v>673</v>
      </c>
      <c r="K6" s="620" t="s">
        <v>672</v>
      </c>
      <c r="L6" s="620" t="s">
        <v>671</v>
      </c>
      <c r="M6" s="653"/>
    </row>
    <row r="7" spans="1:15" x14ac:dyDescent="0.25">
      <c r="A7" s="604">
        <v>1</v>
      </c>
      <c r="B7" s="626" t="s">
        <v>623</v>
      </c>
      <c r="C7" s="679">
        <v>2272285.6462295419</v>
      </c>
      <c r="D7" s="616">
        <v>2250982.539076257</v>
      </c>
      <c r="E7" s="616">
        <v>6817.15</v>
      </c>
      <c r="F7" s="616">
        <v>14485.957153284671</v>
      </c>
      <c r="G7" s="616">
        <f>C7-D7-E7-F7</f>
        <v>1.5825207810848951E-10</v>
      </c>
      <c r="H7" s="616">
        <v>74028.023793648317</v>
      </c>
      <c r="I7" s="616">
        <v>65139.826101243729</v>
      </c>
      <c r="J7" s="616">
        <v>992.04398122674718</v>
      </c>
      <c r="K7" s="616">
        <v>7896.1537111777843</v>
      </c>
      <c r="L7" s="616">
        <v>0</v>
      </c>
      <c r="M7" s="754"/>
      <c r="N7" s="754"/>
    </row>
    <row r="8" spans="1:15" x14ac:dyDescent="0.25">
      <c r="A8" s="604">
        <v>2</v>
      </c>
      <c r="B8" s="626" t="s">
        <v>622</v>
      </c>
      <c r="C8" s="679">
        <v>4936683.5115283998</v>
      </c>
      <c r="D8" s="616">
        <v>4936683.5115283998</v>
      </c>
      <c r="E8" s="616">
        <v>0</v>
      </c>
      <c r="F8" s="616">
        <v>0</v>
      </c>
      <c r="G8" s="616">
        <v>0</v>
      </c>
      <c r="H8" s="616">
        <v>50748.162672025705</v>
      </c>
      <c r="I8" s="616">
        <v>50748.162672025705</v>
      </c>
      <c r="J8" s="616">
        <v>0</v>
      </c>
      <c r="K8" s="616">
        <v>0</v>
      </c>
      <c r="L8" s="616">
        <v>0</v>
      </c>
      <c r="M8" s="754"/>
      <c r="N8" s="754"/>
    </row>
    <row r="9" spans="1:15" x14ac:dyDescent="0.25">
      <c r="A9" s="604">
        <v>3</v>
      </c>
      <c r="B9" s="626" t="s">
        <v>621</v>
      </c>
      <c r="C9" s="679">
        <v>0</v>
      </c>
      <c r="D9" s="616">
        <v>0</v>
      </c>
      <c r="E9" s="616">
        <v>0</v>
      </c>
      <c r="F9" s="616">
        <v>0</v>
      </c>
      <c r="G9" s="616">
        <v>0</v>
      </c>
      <c r="H9" s="616">
        <v>0</v>
      </c>
      <c r="I9" s="616">
        <v>0</v>
      </c>
      <c r="J9" s="616">
        <v>0</v>
      </c>
      <c r="K9" s="616">
        <v>0</v>
      </c>
      <c r="L9" s="616">
        <v>0</v>
      </c>
      <c r="M9" s="754"/>
      <c r="N9" s="754"/>
    </row>
    <row r="10" spans="1:15" x14ac:dyDescent="0.25">
      <c r="A10" s="604">
        <v>4</v>
      </c>
      <c r="B10" s="626" t="s">
        <v>620</v>
      </c>
      <c r="C10" s="679">
        <v>9569017.7968612537</v>
      </c>
      <c r="D10" s="616">
        <v>9569017.7968612537</v>
      </c>
      <c r="E10" s="616">
        <v>0</v>
      </c>
      <c r="F10" s="616">
        <v>0</v>
      </c>
      <c r="G10" s="616">
        <v>0</v>
      </c>
      <c r="H10" s="616">
        <v>80526.565863690877</v>
      </c>
      <c r="I10" s="616">
        <v>80526.565863690877</v>
      </c>
      <c r="J10" s="616">
        <v>0</v>
      </c>
      <c r="K10" s="616">
        <v>0</v>
      </c>
      <c r="L10" s="616">
        <v>0</v>
      </c>
      <c r="M10" s="754"/>
      <c r="N10" s="754"/>
    </row>
    <row r="11" spans="1:15" x14ac:dyDescent="0.25">
      <c r="A11" s="604">
        <v>5</v>
      </c>
      <c r="B11" s="626" t="s">
        <v>618</v>
      </c>
      <c r="C11" s="679">
        <v>12217807.965764647</v>
      </c>
      <c r="D11" s="616">
        <v>11294600.455627898</v>
      </c>
      <c r="E11" s="616">
        <v>923207.51013675123</v>
      </c>
      <c r="F11" s="616">
        <v>0</v>
      </c>
      <c r="G11" s="616">
        <v>0</v>
      </c>
      <c r="H11" s="616">
        <v>283193.90572608722</v>
      </c>
      <c r="I11" s="616">
        <v>136137.51847093576</v>
      </c>
      <c r="J11" s="616">
        <v>147056.38725515126</v>
      </c>
      <c r="K11" s="616">
        <v>0</v>
      </c>
      <c r="L11" s="616">
        <v>0</v>
      </c>
      <c r="M11" s="754"/>
      <c r="N11" s="754"/>
    </row>
    <row r="12" spans="1:15" ht="13.5" x14ac:dyDescent="0.25">
      <c r="A12" s="604">
        <v>6</v>
      </c>
      <c r="B12" s="626" t="s">
        <v>617</v>
      </c>
      <c r="C12" s="679">
        <v>10788168.475748464</v>
      </c>
      <c r="D12" s="616">
        <v>10716045.688491646</v>
      </c>
      <c r="E12" s="616">
        <v>17270.220080134219</v>
      </c>
      <c r="F12" s="616">
        <v>54852.567176684875</v>
      </c>
      <c r="G12" s="616">
        <v>0</v>
      </c>
      <c r="H12" s="616">
        <v>129010.07615525337</v>
      </c>
      <c r="I12" s="616">
        <v>93606.075927173661</v>
      </c>
      <c r="J12" s="616">
        <v>5504.4017896293499</v>
      </c>
      <c r="K12" s="616">
        <v>29899.59843845035</v>
      </c>
      <c r="L12" s="616">
        <v>0</v>
      </c>
      <c r="M12" s="754"/>
      <c r="N12" s="754"/>
      <c r="O12" s="726"/>
    </row>
    <row r="13" spans="1:15" x14ac:dyDescent="0.25">
      <c r="A13" s="604">
        <v>7</v>
      </c>
      <c r="B13" s="626" t="s">
        <v>615</v>
      </c>
      <c r="C13" s="679">
        <v>13424998.53076354</v>
      </c>
      <c r="D13" s="616">
        <v>13424998.53076354</v>
      </c>
      <c r="E13" s="616">
        <v>0</v>
      </c>
      <c r="F13" s="616">
        <v>0</v>
      </c>
      <c r="G13" s="616">
        <v>0</v>
      </c>
      <c r="H13" s="616">
        <v>51212.634181598565</v>
      </c>
      <c r="I13" s="616">
        <v>51212.634181598565</v>
      </c>
      <c r="J13" s="616">
        <v>0</v>
      </c>
      <c r="K13" s="616">
        <v>0</v>
      </c>
      <c r="L13" s="616">
        <v>0</v>
      </c>
      <c r="M13" s="754"/>
      <c r="N13" s="754"/>
      <c r="O13" s="583"/>
    </row>
    <row r="14" spans="1:15" ht="13.5" x14ac:dyDescent="0.25">
      <c r="A14" s="604">
        <v>8</v>
      </c>
      <c r="B14" s="626" t="s">
        <v>614</v>
      </c>
      <c r="C14" s="679">
        <v>871148.52286854293</v>
      </c>
      <c r="D14" s="616">
        <v>871148.52286854293</v>
      </c>
      <c r="E14" s="616">
        <v>0</v>
      </c>
      <c r="F14" s="616">
        <v>0</v>
      </c>
      <c r="G14" s="616">
        <v>0</v>
      </c>
      <c r="H14" s="616">
        <v>15617.4764710117</v>
      </c>
      <c r="I14" s="616">
        <v>15617.4764710117</v>
      </c>
      <c r="J14" s="616">
        <v>0</v>
      </c>
      <c r="K14" s="616">
        <v>0</v>
      </c>
      <c r="L14" s="616">
        <v>0</v>
      </c>
      <c r="M14" s="754"/>
      <c r="N14" s="754"/>
      <c r="O14" s="726"/>
    </row>
    <row r="15" spans="1:15" x14ac:dyDescent="0.25">
      <c r="A15" s="604">
        <v>9</v>
      </c>
      <c r="B15" s="626" t="s">
        <v>613</v>
      </c>
      <c r="C15" s="679">
        <v>802716.58654983575</v>
      </c>
      <c r="D15" s="616">
        <v>802716.58654983575</v>
      </c>
      <c r="E15" s="616">
        <v>0</v>
      </c>
      <c r="F15" s="616">
        <v>0</v>
      </c>
      <c r="G15" s="616">
        <v>0</v>
      </c>
      <c r="H15" s="616">
        <v>11997.096862088569</v>
      </c>
      <c r="I15" s="616">
        <v>11997.096862088569</v>
      </c>
      <c r="J15" s="616">
        <v>0</v>
      </c>
      <c r="K15" s="616">
        <v>0</v>
      </c>
      <c r="L15" s="616">
        <v>0</v>
      </c>
      <c r="M15" s="754"/>
      <c r="N15" s="754"/>
      <c r="O15" s="583"/>
    </row>
    <row r="16" spans="1:15" x14ac:dyDescent="0.25">
      <c r="A16" s="604">
        <v>10</v>
      </c>
      <c r="B16" s="626" t="s">
        <v>612</v>
      </c>
      <c r="C16" s="679">
        <v>971540.18209269294</v>
      </c>
      <c r="D16" s="616">
        <v>971540.18209269294</v>
      </c>
      <c r="E16" s="616">
        <v>0</v>
      </c>
      <c r="F16" s="616">
        <v>0</v>
      </c>
      <c r="G16" s="616">
        <v>0</v>
      </c>
      <c r="H16" s="616">
        <v>14281.109901312599</v>
      </c>
      <c r="I16" s="616">
        <v>14281.109901312599</v>
      </c>
      <c r="J16" s="616">
        <v>0</v>
      </c>
      <c r="K16" s="616">
        <v>0</v>
      </c>
      <c r="L16" s="616">
        <v>0</v>
      </c>
      <c r="M16" s="754"/>
      <c r="N16" s="754"/>
      <c r="O16" s="583"/>
    </row>
    <row r="17" spans="1:15" x14ac:dyDescent="0.25">
      <c r="A17" s="604">
        <v>11</v>
      </c>
      <c r="B17" s="626" t="s">
        <v>611</v>
      </c>
      <c r="C17" s="679">
        <v>25277.61841542607</v>
      </c>
      <c r="D17" s="616">
        <v>24345.183242384177</v>
      </c>
      <c r="E17" s="616">
        <v>932.43517304189436</v>
      </c>
      <c r="F17" s="616">
        <v>0</v>
      </c>
      <c r="G17" s="616">
        <v>0</v>
      </c>
      <c r="H17" s="616">
        <v>991.47091870186136</v>
      </c>
      <c r="I17" s="616">
        <v>694.28316942071456</v>
      </c>
      <c r="J17" s="616">
        <v>297.18774928114681</v>
      </c>
      <c r="K17" s="616">
        <v>0</v>
      </c>
      <c r="L17" s="616">
        <v>0</v>
      </c>
      <c r="M17" s="754"/>
      <c r="N17" s="754"/>
      <c r="O17" s="583"/>
    </row>
    <row r="18" spans="1:15" x14ac:dyDescent="0.25">
      <c r="A18" s="604">
        <v>12</v>
      </c>
      <c r="B18" s="626" t="s">
        <v>610</v>
      </c>
      <c r="C18" s="679">
        <v>5317751.5039543184</v>
      </c>
      <c r="D18" s="616">
        <v>5271321.1348812412</v>
      </c>
      <c r="E18" s="616">
        <v>0</v>
      </c>
      <c r="F18" s="616">
        <v>46430.369073077629</v>
      </c>
      <c r="G18" s="616">
        <v>0</v>
      </c>
      <c r="H18" s="616">
        <v>96020.463743265762</v>
      </c>
      <c r="I18" s="616">
        <v>70711.723203148562</v>
      </c>
      <c r="J18" s="616">
        <v>0</v>
      </c>
      <c r="K18" s="616">
        <v>25308.740540117182</v>
      </c>
      <c r="L18" s="616">
        <v>0</v>
      </c>
      <c r="M18" s="754"/>
      <c r="N18" s="754"/>
      <c r="O18" s="583"/>
    </row>
    <row r="19" spans="1:15" x14ac:dyDescent="0.25">
      <c r="A19" s="604">
        <v>13</v>
      </c>
      <c r="B19" s="626" t="s">
        <v>609</v>
      </c>
      <c r="C19" s="679">
        <v>206412.92287537505</v>
      </c>
      <c r="D19" s="616">
        <v>193323.70580308227</v>
      </c>
      <c r="E19" s="616">
        <v>1880.2712328767122</v>
      </c>
      <c r="F19" s="616">
        <v>11208.945839416059</v>
      </c>
      <c r="G19" s="616">
        <v>0</v>
      </c>
      <c r="H19" s="616">
        <v>12426.191501014095</v>
      </c>
      <c r="I19" s="616">
        <v>5523.8186500660449</v>
      </c>
      <c r="J19" s="616">
        <v>792.48598936590508</v>
      </c>
      <c r="K19" s="616">
        <v>6109.8868615821457</v>
      </c>
      <c r="L19" s="616">
        <v>0</v>
      </c>
      <c r="M19" s="754"/>
      <c r="N19" s="754"/>
      <c r="O19" s="583"/>
    </row>
    <row r="20" spans="1:15" x14ac:dyDescent="0.25">
      <c r="A20" s="604">
        <v>14</v>
      </c>
      <c r="B20" s="626" t="s">
        <v>608</v>
      </c>
      <c r="C20" s="679">
        <v>2688208.347657871</v>
      </c>
      <c r="D20" s="616">
        <v>2649637.7876578709</v>
      </c>
      <c r="E20" s="616">
        <v>0</v>
      </c>
      <c r="F20" s="616">
        <v>38570.559999999998</v>
      </c>
      <c r="G20" s="616">
        <v>0</v>
      </c>
      <c r="H20" s="616">
        <v>52094.364046499475</v>
      </c>
      <c r="I20" s="616">
        <v>31069.928638919428</v>
      </c>
      <c r="J20" s="616">
        <v>0</v>
      </c>
      <c r="K20" s="616">
        <v>21024.435407580029</v>
      </c>
      <c r="L20" s="616">
        <v>0</v>
      </c>
      <c r="M20" s="754"/>
      <c r="N20" s="754"/>
      <c r="O20" s="583"/>
    </row>
    <row r="21" spans="1:15" x14ac:dyDescent="0.25">
      <c r="A21" s="604">
        <v>15</v>
      </c>
      <c r="B21" s="626" t="s">
        <v>607</v>
      </c>
      <c r="C21" s="679">
        <v>2002682.4597894722</v>
      </c>
      <c r="D21" s="616">
        <v>1976350.6278448666</v>
      </c>
      <c r="E21" s="616">
        <v>8380.1299999999992</v>
      </c>
      <c r="F21" s="616">
        <v>17951.701944605815</v>
      </c>
      <c r="G21" s="616">
        <v>0</v>
      </c>
      <c r="H21" s="616">
        <v>36927.073915332738</v>
      </c>
      <c r="I21" s="616">
        <v>25988.749984727961</v>
      </c>
      <c r="J21" s="616">
        <v>1153.0265952667935</v>
      </c>
      <c r="K21" s="616">
        <v>9785.2973353379803</v>
      </c>
      <c r="L21" s="616">
        <v>0</v>
      </c>
      <c r="M21" s="754"/>
      <c r="N21" s="754"/>
      <c r="O21" s="583"/>
    </row>
    <row r="22" spans="1:15" x14ac:dyDescent="0.25">
      <c r="A22" s="604">
        <v>16</v>
      </c>
      <c r="B22" s="609" t="s">
        <v>606</v>
      </c>
      <c r="C22" s="679">
        <v>88663.87848289797</v>
      </c>
      <c r="D22" s="616">
        <v>88663.87848289797</v>
      </c>
      <c r="E22" s="616">
        <v>0</v>
      </c>
      <c r="F22" s="616">
        <v>0</v>
      </c>
      <c r="G22" s="616">
        <v>0</v>
      </c>
      <c r="H22" s="616">
        <v>1814.6965396520252</v>
      </c>
      <c r="I22" s="616">
        <v>1814.6965396520252</v>
      </c>
      <c r="J22" s="616">
        <v>0</v>
      </c>
      <c r="K22" s="616">
        <v>0</v>
      </c>
      <c r="L22" s="616">
        <v>0</v>
      </c>
      <c r="M22" s="754"/>
      <c r="N22" s="754"/>
      <c r="O22" s="583"/>
    </row>
    <row r="23" spans="1:15" x14ac:dyDescent="0.25">
      <c r="A23" s="604">
        <v>17</v>
      </c>
      <c r="B23" s="626" t="s">
        <v>605</v>
      </c>
      <c r="C23" s="679">
        <v>79326.288228135702</v>
      </c>
      <c r="D23" s="616">
        <v>79326.288228135702</v>
      </c>
      <c r="E23" s="616">
        <v>0</v>
      </c>
      <c r="F23" s="616">
        <v>0</v>
      </c>
      <c r="G23" s="616">
        <v>0</v>
      </c>
      <c r="H23" s="616">
        <v>1754.4138647091415</v>
      </c>
      <c r="I23" s="616">
        <v>1754.4138647091415</v>
      </c>
      <c r="J23" s="616">
        <v>0</v>
      </c>
      <c r="K23" s="616">
        <v>0</v>
      </c>
      <c r="L23" s="616">
        <v>0</v>
      </c>
      <c r="M23" s="754"/>
      <c r="N23" s="754"/>
      <c r="O23" s="583"/>
    </row>
    <row r="24" spans="1:15" x14ac:dyDescent="0.25">
      <c r="A24" s="604">
        <v>18</v>
      </c>
      <c r="B24" s="626" t="s">
        <v>604</v>
      </c>
      <c r="C24" s="679">
        <v>10688490.929019621</v>
      </c>
      <c r="D24" s="616">
        <v>10675327.724986022</v>
      </c>
      <c r="E24" s="616">
        <v>13163.204033596641</v>
      </c>
      <c r="F24" s="616">
        <v>0</v>
      </c>
      <c r="G24" s="616">
        <v>0</v>
      </c>
      <c r="H24" s="616">
        <v>28244.036995170176</v>
      </c>
      <c r="I24" s="616">
        <v>24821.863172735666</v>
      </c>
      <c r="J24" s="616">
        <v>3422.1738224345127</v>
      </c>
      <c r="K24" s="616">
        <v>0</v>
      </c>
      <c r="L24" s="616">
        <v>0</v>
      </c>
      <c r="M24" s="754"/>
      <c r="N24" s="754"/>
      <c r="O24" s="583"/>
    </row>
    <row r="25" spans="1:15" ht="13.5" x14ac:dyDescent="0.25">
      <c r="A25" s="604">
        <v>19</v>
      </c>
      <c r="B25" s="626" t="s">
        <v>603</v>
      </c>
      <c r="C25" s="679">
        <v>254777.45425194065</v>
      </c>
      <c r="D25" s="616">
        <v>245340.76425194065</v>
      </c>
      <c r="E25" s="616">
        <v>9417.85</v>
      </c>
      <c r="F25" s="616">
        <v>18.84</v>
      </c>
      <c r="G25" s="616">
        <v>0</v>
      </c>
      <c r="H25" s="616">
        <v>11117.16489047251</v>
      </c>
      <c r="I25" s="616">
        <v>9811.0883421789767</v>
      </c>
      <c r="J25" s="616">
        <v>1295.8070483671938</v>
      </c>
      <c r="K25" s="616">
        <v>10.269499926337801</v>
      </c>
      <c r="L25" s="616">
        <v>0</v>
      </c>
      <c r="M25" s="754"/>
      <c r="N25" s="754"/>
      <c r="O25" s="726"/>
    </row>
    <row r="26" spans="1:15" x14ac:dyDescent="0.25">
      <c r="A26" s="604">
        <v>20</v>
      </c>
      <c r="B26" s="626" t="s">
        <v>602</v>
      </c>
      <c r="C26" s="679">
        <v>360126.15235112846</v>
      </c>
      <c r="D26" s="616">
        <v>344776.44450034137</v>
      </c>
      <c r="E26" s="616">
        <v>15349.70785078713</v>
      </c>
      <c r="F26" s="616">
        <v>0</v>
      </c>
      <c r="G26" s="616">
        <v>0</v>
      </c>
      <c r="H26" s="616">
        <v>15623.304778371063</v>
      </c>
      <c r="I26" s="616">
        <v>9153.7975073388207</v>
      </c>
      <c r="J26" s="616">
        <v>6469.5072710322384</v>
      </c>
      <c r="K26" s="616">
        <v>0</v>
      </c>
      <c r="L26" s="616">
        <v>0</v>
      </c>
      <c r="M26" s="754"/>
      <c r="N26" s="754"/>
    </row>
    <row r="27" spans="1:15" x14ac:dyDescent="0.25">
      <c r="A27" s="604">
        <v>21</v>
      </c>
      <c r="B27" s="626" t="s">
        <v>601</v>
      </c>
      <c r="C27" s="679">
        <v>214543.02027087979</v>
      </c>
      <c r="D27" s="616">
        <v>214397.52027087979</v>
      </c>
      <c r="E27" s="616">
        <v>0</v>
      </c>
      <c r="F27" s="616">
        <v>145.5</v>
      </c>
      <c r="G27" s="616">
        <v>0</v>
      </c>
      <c r="H27" s="616">
        <v>7035.2645949056268</v>
      </c>
      <c r="I27" s="616">
        <v>6955.9539664936228</v>
      </c>
      <c r="J27" s="616">
        <v>0</v>
      </c>
      <c r="K27" s="616">
        <v>79.310628412003709</v>
      </c>
      <c r="L27" s="616">
        <v>0</v>
      </c>
      <c r="M27" s="754"/>
      <c r="N27" s="754"/>
    </row>
    <row r="28" spans="1:15" x14ac:dyDescent="0.25">
      <c r="A28" s="604">
        <v>22</v>
      </c>
      <c r="B28" s="626" t="s">
        <v>600</v>
      </c>
      <c r="C28" s="679">
        <v>2219805.1161340419</v>
      </c>
      <c r="D28" s="616">
        <v>2148230.588678502</v>
      </c>
      <c r="E28" s="616">
        <v>23618.697455540358</v>
      </c>
      <c r="F28" s="616">
        <v>47955.83</v>
      </c>
      <c r="G28" s="616">
        <v>0</v>
      </c>
      <c r="H28" s="616">
        <v>69619.903221689674</v>
      </c>
      <c r="I28" s="616">
        <v>39464.534995692855</v>
      </c>
      <c r="J28" s="616">
        <v>4015.1138389231387</v>
      </c>
      <c r="K28" s="616">
        <v>26140.254387073677</v>
      </c>
      <c r="L28" s="616">
        <v>0</v>
      </c>
      <c r="M28" s="754"/>
      <c r="N28" s="754"/>
    </row>
    <row r="29" spans="1:15" x14ac:dyDescent="0.25">
      <c r="A29" s="604">
        <v>23</v>
      </c>
      <c r="B29" s="626" t="s">
        <v>599</v>
      </c>
      <c r="C29" s="679">
        <v>14844711.71389818</v>
      </c>
      <c r="D29" s="616">
        <v>13927859.284334069</v>
      </c>
      <c r="E29" s="616">
        <v>550122.22184182552</v>
      </c>
      <c r="F29" s="616">
        <v>366730.20772228431</v>
      </c>
      <c r="G29" s="616">
        <v>0</v>
      </c>
      <c r="H29" s="616">
        <v>640271.12247089902</v>
      </c>
      <c r="I29" s="616">
        <v>272380.80371150654</v>
      </c>
      <c r="J29" s="616">
        <v>119077.50789057824</v>
      </c>
      <c r="K29" s="616">
        <v>248812.81086881485</v>
      </c>
      <c r="L29" s="616">
        <v>0</v>
      </c>
      <c r="M29" s="754"/>
      <c r="N29" s="754"/>
    </row>
    <row r="30" spans="1:15" x14ac:dyDescent="0.25">
      <c r="A30" s="604">
        <v>24</v>
      </c>
      <c r="B30" s="626" t="s">
        <v>598</v>
      </c>
      <c r="C30" s="679">
        <v>2795480.6105117397</v>
      </c>
      <c r="D30" s="616">
        <v>2651142.4005117398</v>
      </c>
      <c r="E30" s="616">
        <v>0</v>
      </c>
      <c r="F30" s="616">
        <v>144338.21</v>
      </c>
      <c r="G30" s="616">
        <v>0</v>
      </c>
      <c r="H30" s="616">
        <v>115658.20660059729</v>
      </c>
      <c r="I30" s="616">
        <v>31019.995903625448</v>
      </c>
      <c r="J30" s="616">
        <v>0</v>
      </c>
      <c r="K30" s="616">
        <v>84638.210696971815</v>
      </c>
      <c r="L30" s="616">
        <v>0</v>
      </c>
      <c r="M30" s="754"/>
      <c r="N30" s="754"/>
    </row>
    <row r="31" spans="1:15" x14ac:dyDescent="0.25">
      <c r="A31" s="604">
        <v>25</v>
      </c>
      <c r="B31" s="626" t="s">
        <v>216</v>
      </c>
      <c r="C31" s="751">
        <v>8797917.8428197112</v>
      </c>
      <c r="D31" s="616">
        <v>8696518.2799403798</v>
      </c>
      <c r="E31" s="616">
        <v>25587.020759764931</v>
      </c>
      <c r="F31" s="616">
        <v>75812.542119565216</v>
      </c>
      <c r="G31" s="616">
        <v>0</v>
      </c>
      <c r="H31" s="616">
        <v>160868.26997688433</v>
      </c>
      <c r="I31" s="616">
        <v>116092.30586250219</v>
      </c>
      <c r="J31" s="616">
        <v>3355.8379889288431</v>
      </c>
      <c r="K31" s="616">
        <v>41420.126125453615</v>
      </c>
      <c r="L31" s="616">
        <v>0</v>
      </c>
      <c r="M31" s="754"/>
      <c r="N31" s="754"/>
    </row>
    <row r="32" spans="1:15" x14ac:dyDescent="0.25">
      <c r="A32" s="604">
        <v>26</v>
      </c>
      <c r="B32" s="626" t="s">
        <v>711</v>
      </c>
      <c r="C32" s="679">
        <v>0</v>
      </c>
      <c r="D32" s="616">
        <v>0</v>
      </c>
      <c r="E32" s="616">
        <v>0</v>
      </c>
      <c r="F32" s="616">
        <v>0</v>
      </c>
      <c r="G32" s="616">
        <v>0</v>
      </c>
      <c r="H32" s="679">
        <v>0</v>
      </c>
      <c r="I32" s="679">
        <v>0</v>
      </c>
      <c r="J32" s="679">
        <v>0</v>
      </c>
      <c r="K32" s="679">
        <v>0</v>
      </c>
      <c r="L32" s="616">
        <v>0</v>
      </c>
      <c r="M32" s="754"/>
      <c r="N32" s="754"/>
    </row>
    <row r="33" spans="1:14" x14ac:dyDescent="0.25">
      <c r="A33" s="604">
        <v>27</v>
      </c>
      <c r="B33" s="678" t="s">
        <v>157</v>
      </c>
      <c r="C33" s="764">
        <f t="shared" ref="C33:L33" si="0">SUM(C7:C32)</f>
        <v>106438543.07706766</v>
      </c>
      <c r="D33" s="764">
        <f t="shared" si="0"/>
        <v>104024295.42747444</v>
      </c>
      <c r="E33" s="764">
        <f t="shared" si="0"/>
        <v>1595746.4185643184</v>
      </c>
      <c r="F33" s="764">
        <f t="shared" si="0"/>
        <v>818501.23102891853</v>
      </c>
      <c r="G33" s="764">
        <f t="shared" si="0"/>
        <v>1.5825207810848951E-10</v>
      </c>
      <c r="H33" s="764">
        <f t="shared" si="0"/>
        <v>1961080.9996848817</v>
      </c>
      <c r="I33" s="764">
        <f t="shared" si="0"/>
        <v>1166524.4239637991</v>
      </c>
      <c r="J33" s="764">
        <f t="shared" si="0"/>
        <v>293431.48122018535</v>
      </c>
      <c r="K33" s="764">
        <f t="shared" si="0"/>
        <v>501125.09450089774</v>
      </c>
      <c r="L33" s="764">
        <f t="shared" si="0"/>
        <v>0</v>
      </c>
      <c r="M33" s="754"/>
      <c r="N33" s="754"/>
    </row>
    <row r="34" spans="1:14" x14ac:dyDescent="0.25">
      <c r="C34" s="717"/>
    </row>
    <row r="35" spans="1:14" x14ac:dyDescent="0.25">
      <c r="B35" s="752"/>
      <c r="C35" s="717"/>
      <c r="D35" s="717"/>
      <c r="E35" s="717"/>
      <c r="F35" s="717"/>
      <c r="H35" s="717"/>
      <c r="I35" s="717"/>
      <c r="J35" s="717"/>
      <c r="K35" s="717"/>
    </row>
    <row r="36" spans="1:14" x14ac:dyDescent="0.25">
      <c r="B36" s="753"/>
    </row>
    <row r="38" spans="1:14" ht="13.5" x14ac:dyDescent="0.25">
      <c r="B38" s="726"/>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63CD-165E-4578-9D2F-275BCFA7ECA7}">
  <dimension ref="A1:M22"/>
  <sheetViews>
    <sheetView showGridLines="0" topLeftCell="H1" zoomScale="130" zoomScaleNormal="130" workbookViewId="0">
      <selection activeCell="L12" sqref="L12"/>
    </sheetView>
  </sheetViews>
  <sheetFormatPr defaultColWidth="8.7109375" defaultRowHeight="12" x14ac:dyDescent="0.2"/>
  <cols>
    <col min="1" max="1" width="11.85546875" style="681" bestFit="1" customWidth="1"/>
    <col min="2" max="2" width="80" style="681" customWidth="1"/>
    <col min="3" max="11" width="20.5703125" style="681" customWidth="1"/>
    <col min="12" max="12" width="12.42578125" style="682" bestFit="1" customWidth="1"/>
    <col min="13" max="13" width="13" style="681" customWidth="1"/>
    <col min="14" max="16384" width="8.7109375" style="681"/>
  </cols>
  <sheetData>
    <row r="1" spans="1:13" s="583" customFormat="1" ht="13.5" x14ac:dyDescent="0.25">
      <c r="A1" s="601" t="s">
        <v>94</v>
      </c>
      <c r="B1" s="115" t="str">
        <f>Info!C2</f>
        <v>სს სილქ ბანკი</v>
      </c>
      <c r="C1" s="622"/>
      <c r="D1" s="622"/>
      <c r="E1" s="622"/>
      <c r="F1" s="622"/>
      <c r="G1" s="622"/>
      <c r="H1" s="622"/>
      <c r="I1" s="622"/>
      <c r="J1" s="622"/>
      <c r="K1" s="622"/>
      <c r="L1" s="603"/>
    </row>
    <row r="2" spans="1:13" s="583" customFormat="1" ht="12.75" x14ac:dyDescent="0.25">
      <c r="A2" s="601" t="s">
        <v>93</v>
      </c>
      <c r="B2" s="600">
        <f>'1. key ratios'!B2</f>
        <v>45565</v>
      </c>
      <c r="C2" s="622"/>
      <c r="D2" s="622"/>
      <c r="E2" s="622"/>
      <c r="F2" s="622"/>
      <c r="G2" s="622"/>
      <c r="H2" s="622"/>
      <c r="I2" s="622"/>
      <c r="J2" s="622"/>
      <c r="K2" s="622"/>
      <c r="L2" s="603"/>
    </row>
    <row r="3" spans="1:13" s="583" customFormat="1" ht="12.75" x14ac:dyDescent="0.25">
      <c r="A3" s="599" t="s">
        <v>733</v>
      </c>
      <c r="B3" s="622"/>
      <c r="C3" s="622"/>
      <c r="D3" s="622"/>
      <c r="E3" s="622"/>
      <c r="F3" s="622"/>
      <c r="G3" s="622"/>
      <c r="H3" s="622"/>
      <c r="I3" s="622"/>
      <c r="J3" s="622"/>
      <c r="K3" s="622"/>
      <c r="L3" s="603"/>
    </row>
    <row r="4" spans="1:13" ht="40.5" customHeight="1" x14ac:dyDescent="0.2">
      <c r="A4" s="695"/>
      <c r="B4" s="695"/>
      <c r="C4" s="694" t="s">
        <v>595</v>
      </c>
      <c r="D4" s="694" t="s">
        <v>594</v>
      </c>
      <c r="E4" s="694" t="s">
        <v>593</v>
      </c>
      <c r="F4" s="694" t="s">
        <v>592</v>
      </c>
      <c r="G4" s="694" t="s">
        <v>591</v>
      </c>
      <c r="H4" s="694" t="s">
        <v>590</v>
      </c>
      <c r="I4" s="694" t="s">
        <v>732</v>
      </c>
      <c r="J4" s="694" t="s">
        <v>731</v>
      </c>
      <c r="K4" s="694" t="s">
        <v>730</v>
      </c>
    </row>
    <row r="5" spans="1:13" ht="104.1" customHeight="1" x14ac:dyDescent="0.2">
      <c r="A5" s="889" t="s">
        <v>729</v>
      </c>
      <c r="B5" s="890"/>
      <c r="C5" s="645" t="s">
        <v>728</v>
      </c>
      <c r="D5" s="645" t="s">
        <v>727</v>
      </c>
      <c r="E5" s="645" t="s">
        <v>726</v>
      </c>
      <c r="F5" s="645" t="s">
        <v>725</v>
      </c>
      <c r="G5" s="645" t="s">
        <v>724</v>
      </c>
      <c r="H5" s="645" t="s">
        <v>723</v>
      </c>
      <c r="I5" s="645" t="s">
        <v>722</v>
      </c>
      <c r="J5" s="645" t="s">
        <v>721</v>
      </c>
      <c r="K5" s="645" t="s">
        <v>720</v>
      </c>
    </row>
    <row r="6" spans="1:13" ht="12.75" x14ac:dyDescent="0.25">
      <c r="A6" s="604">
        <v>1</v>
      </c>
      <c r="B6" s="604" t="s">
        <v>719</v>
      </c>
      <c r="C6" s="616">
        <v>2222698.5308650522</v>
      </c>
      <c r="D6" s="616"/>
      <c r="E6" s="616"/>
      <c r="F6" s="616"/>
      <c r="G6" s="616">
        <v>75745917.054328769</v>
      </c>
      <c r="H6" s="616"/>
      <c r="I6" s="617">
        <v>10774716.160691729</v>
      </c>
      <c r="J6" s="617">
        <v>0</v>
      </c>
      <c r="K6" s="617">
        <f>'23. LTV'!C8-J6-I6-G6-C6</f>
        <v>17695211.331182174</v>
      </c>
      <c r="L6" s="688"/>
      <c r="M6" s="693">
        <v>0</v>
      </c>
    </row>
    <row r="7" spans="1:13" ht="12.75" x14ac:dyDescent="0.25">
      <c r="A7" s="604">
        <v>2</v>
      </c>
      <c r="B7" s="604" t="s">
        <v>718</v>
      </c>
      <c r="C7" s="616"/>
      <c r="D7" s="616"/>
      <c r="E7" s="616"/>
      <c r="F7" s="616"/>
      <c r="G7" s="616"/>
      <c r="H7" s="616"/>
      <c r="I7" s="616"/>
      <c r="J7" s="616"/>
      <c r="K7" s="616"/>
    </row>
    <row r="8" spans="1:13" ht="12.75" x14ac:dyDescent="0.25">
      <c r="A8" s="604">
        <v>3</v>
      </c>
      <c r="B8" s="604" t="s">
        <v>662</v>
      </c>
      <c r="C8" s="616">
        <v>1510520.12</v>
      </c>
      <c r="D8" s="616"/>
      <c r="E8" s="616"/>
      <c r="F8" s="616"/>
      <c r="G8" s="692">
        <f>'4. Off-balance'!E27+'4. Off-balance'!E28-C8-I8-K8</f>
        <v>7930392.6300000008</v>
      </c>
      <c r="H8" s="616"/>
      <c r="I8" s="616">
        <v>2915400.13</v>
      </c>
      <c r="J8" s="616"/>
      <c r="K8" s="691">
        <v>1083319.8100000005</v>
      </c>
      <c r="L8" s="688"/>
    </row>
    <row r="9" spans="1:13" ht="12.75" x14ac:dyDescent="0.25">
      <c r="A9" s="604">
        <v>4</v>
      </c>
      <c r="B9" s="636" t="s">
        <v>717</v>
      </c>
      <c r="C9" s="687"/>
      <c r="D9" s="687"/>
      <c r="E9" s="687"/>
      <c r="F9" s="687"/>
      <c r="G9" s="687">
        <v>375705.71865633078</v>
      </c>
      <c r="H9" s="687"/>
      <c r="I9" s="687">
        <v>0</v>
      </c>
      <c r="J9" s="690"/>
      <c r="K9" s="687">
        <v>442795.51237258798</v>
      </c>
      <c r="L9" s="689"/>
    </row>
    <row r="10" spans="1:13" ht="12.75" x14ac:dyDescent="0.25">
      <c r="A10" s="604">
        <v>5</v>
      </c>
      <c r="B10" s="636" t="s">
        <v>716</v>
      </c>
      <c r="C10" s="687"/>
      <c r="D10" s="687"/>
      <c r="E10" s="687"/>
      <c r="F10" s="687"/>
      <c r="G10" s="687"/>
      <c r="H10" s="687"/>
      <c r="I10" s="687"/>
      <c r="J10" s="687"/>
      <c r="K10" s="687"/>
      <c r="L10" s="688"/>
    </row>
    <row r="11" spans="1:13" ht="12.75" x14ac:dyDescent="0.25">
      <c r="A11" s="604">
        <v>6</v>
      </c>
      <c r="B11" s="636" t="s">
        <v>715</v>
      </c>
      <c r="C11" s="687"/>
      <c r="D11" s="687"/>
      <c r="E11" s="687"/>
      <c r="F11" s="687"/>
      <c r="G11" s="687"/>
      <c r="H11" s="687"/>
      <c r="I11" s="687"/>
      <c r="J11" s="687"/>
      <c r="K11" s="687"/>
    </row>
    <row r="13" spans="1:13" ht="15" x14ac:dyDescent="0.3">
      <c r="B13" s="686"/>
      <c r="G13" s="685"/>
    </row>
    <row r="14" spans="1:13" x14ac:dyDescent="0.2">
      <c r="G14" s="685"/>
    </row>
    <row r="15" spans="1:13" x14ac:dyDescent="0.2">
      <c r="G15" s="684"/>
    </row>
    <row r="20" spans="2:7" x14ac:dyDescent="0.2">
      <c r="C20" s="684"/>
      <c r="G20" s="684"/>
    </row>
    <row r="22" spans="2:7" x14ac:dyDescent="0.2">
      <c r="B22" s="683"/>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385C-196B-4B72-82D8-9711ECE1AB45}">
  <dimension ref="A1:BP27"/>
  <sheetViews>
    <sheetView showGridLines="0" topLeftCell="B5" zoomScale="115" zoomScaleNormal="115" workbookViewId="0">
      <pane xSplit="2" topLeftCell="S1" activePane="topRight" state="frozen"/>
      <selection activeCell="F21" sqref="F21"/>
      <selection pane="topRight" activeCell="D7" sqref="D7:W20"/>
    </sheetView>
  </sheetViews>
  <sheetFormatPr defaultColWidth="8.7109375" defaultRowHeight="15" x14ac:dyDescent="0.25"/>
  <cols>
    <col min="1" max="1" width="8.7109375" style="696"/>
    <col min="2" max="2" width="13.7109375" style="696" customWidth="1"/>
    <col min="3" max="3" width="56.42578125" style="696" customWidth="1"/>
    <col min="4" max="4" width="17.28515625" style="696" customWidth="1"/>
    <col min="5" max="5" width="15.85546875" style="696" bestFit="1" customWidth="1"/>
    <col min="6" max="7" width="14.85546875" style="696" customWidth="1"/>
    <col min="8" max="8" width="23" style="696" customWidth="1"/>
    <col min="9" max="9" width="16.5703125" style="696" customWidth="1"/>
    <col min="10" max="10" width="17.42578125" style="696" customWidth="1"/>
    <col min="11" max="11" width="16.42578125" style="696" customWidth="1"/>
    <col min="12" max="12" width="25.140625" style="696" customWidth="1"/>
    <col min="13" max="13" width="22.140625" style="696" customWidth="1"/>
    <col min="14" max="14" width="12.85546875" style="696" customWidth="1"/>
    <col min="15" max="15" width="15.140625" style="696" bestFit="1" customWidth="1"/>
    <col min="16" max="16" width="14.140625" style="696" customWidth="1"/>
    <col min="17" max="17" width="14.28515625" style="696" customWidth="1"/>
    <col min="18" max="18" width="25.7109375" style="696" customWidth="1"/>
    <col min="19" max="19" width="10.7109375" style="696" customWidth="1"/>
    <col min="20" max="20" width="19.28515625" style="696" customWidth="1"/>
    <col min="21" max="21" width="23.28515625" style="696" customWidth="1"/>
    <col min="22" max="22" width="21.85546875" style="696" customWidth="1"/>
    <col min="23" max="23" width="21" style="696" customWidth="1"/>
    <col min="24" max="16384" width="8.7109375" style="696"/>
  </cols>
  <sheetData>
    <row r="1" spans="1:68" x14ac:dyDescent="0.25">
      <c r="B1" s="601" t="s">
        <v>94</v>
      </c>
      <c r="C1" s="115" t="str">
        <f>Info!C2</f>
        <v>სს სილქ ბანკი</v>
      </c>
    </row>
    <row r="2" spans="1:68" x14ac:dyDescent="0.25">
      <c r="B2" s="601" t="s">
        <v>93</v>
      </c>
      <c r="C2" s="600">
        <f>'1. key ratios'!B2</f>
        <v>45565</v>
      </c>
    </row>
    <row r="3" spans="1:68" x14ac:dyDescent="0.25">
      <c r="B3" s="599" t="s">
        <v>757</v>
      </c>
      <c r="C3" s="622"/>
    </row>
    <row r="4" spans="1:68" ht="40.5" customHeight="1" x14ac:dyDescent="0.25">
      <c r="B4" s="599"/>
      <c r="C4" s="622"/>
    </row>
    <row r="5" spans="1:68" ht="24" customHeight="1" x14ac:dyDescent="0.25">
      <c r="B5" s="891" t="s">
        <v>756</v>
      </c>
      <c r="C5" s="891"/>
      <c r="D5" s="893" t="s">
        <v>755</v>
      </c>
      <c r="E5" s="893"/>
      <c r="F5" s="893"/>
      <c r="G5" s="893"/>
      <c r="H5" s="893"/>
      <c r="I5" s="893" t="s">
        <v>588</v>
      </c>
      <c r="J5" s="893"/>
      <c r="K5" s="893"/>
      <c r="L5" s="893"/>
      <c r="M5" s="893"/>
      <c r="N5" s="893" t="s">
        <v>587</v>
      </c>
      <c r="O5" s="893"/>
      <c r="P5" s="893"/>
      <c r="Q5" s="893"/>
      <c r="R5" s="893"/>
      <c r="S5" s="892" t="s">
        <v>754</v>
      </c>
      <c r="T5" s="892" t="s">
        <v>753</v>
      </c>
      <c r="U5" s="892" t="s">
        <v>752</v>
      </c>
      <c r="V5" s="892" t="s">
        <v>751</v>
      </c>
      <c r="W5" s="892" t="s">
        <v>750</v>
      </c>
    </row>
    <row r="6" spans="1:68" ht="45" customHeight="1" x14ac:dyDescent="0.25">
      <c r="B6" s="891"/>
      <c r="C6" s="891"/>
      <c r="D6" s="711"/>
      <c r="E6" s="620" t="s">
        <v>674</v>
      </c>
      <c r="F6" s="620" t="s">
        <v>673</v>
      </c>
      <c r="G6" s="620" t="s">
        <v>672</v>
      </c>
      <c r="H6" s="620" t="s">
        <v>671</v>
      </c>
      <c r="I6" s="711"/>
      <c r="J6" s="620" t="s">
        <v>674</v>
      </c>
      <c r="K6" s="620" t="s">
        <v>673</v>
      </c>
      <c r="L6" s="620" t="s">
        <v>672</v>
      </c>
      <c r="M6" s="620" t="s">
        <v>671</v>
      </c>
      <c r="N6" s="711"/>
      <c r="O6" s="620" t="s">
        <v>674</v>
      </c>
      <c r="P6" s="620" t="s">
        <v>673</v>
      </c>
      <c r="Q6" s="620" t="s">
        <v>672</v>
      </c>
      <c r="R6" s="620" t="s">
        <v>671</v>
      </c>
      <c r="S6" s="892"/>
      <c r="T6" s="892"/>
      <c r="U6" s="892"/>
      <c r="V6" s="892"/>
      <c r="W6" s="892"/>
    </row>
    <row r="7" spans="1:68" x14ac:dyDescent="0.25">
      <c r="B7" s="703">
        <v>1</v>
      </c>
      <c r="C7" s="710" t="s">
        <v>749</v>
      </c>
      <c r="D7" s="701">
        <f t="shared" ref="D7:D19" si="0">E7+F7+G7</f>
        <v>1036284.25</v>
      </c>
      <c r="E7" s="687">
        <v>1033161.77</v>
      </c>
      <c r="F7" s="687">
        <v>3122.48</v>
      </c>
      <c r="G7" s="687">
        <v>0</v>
      </c>
      <c r="H7" s="687"/>
      <c r="I7" s="687">
        <f t="shared" ref="I7:I18" si="1">SUM(J7:M7)</f>
        <v>1048224.16281</v>
      </c>
      <c r="J7" s="687">
        <v>1045078.53281</v>
      </c>
      <c r="K7" s="687">
        <v>3145.63</v>
      </c>
      <c r="L7" s="687">
        <v>0</v>
      </c>
      <c r="M7" s="687"/>
      <c r="N7" s="687">
        <f t="shared" ref="N7:N18" si="2">O7+P7+Q7</f>
        <v>41097.102608499998</v>
      </c>
      <c r="O7" s="687">
        <v>40971.277408499998</v>
      </c>
      <c r="P7" s="687">
        <v>125.8252</v>
      </c>
      <c r="Q7" s="687">
        <v>0</v>
      </c>
      <c r="R7" s="687">
        <v>0</v>
      </c>
      <c r="S7" s="697">
        <v>83</v>
      </c>
      <c r="T7" s="700">
        <v>0.30238928534561299</v>
      </c>
      <c r="U7" s="700">
        <v>0.35773177125675798</v>
      </c>
      <c r="V7" s="700">
        <v>0.301720005346023</v>
      </c>
      <c r="W7" s="687">
        <v>30.239482340873099</v>
      </c>
    </row>
    <row r="8" spans="1:68" x14ac:dyDescent="0.25">
      <c r="B8" s="703">
        <v>2</v>
      </c>
      <c r="C8" s="707" t="s">
        <v>616</v>
      </c>
      <c r="D8" s="701">
        <f t="shared" si="0"/>
        <v>23676746.309999999</v>
      </c>
      <c r="E8" s="687">
        <v>22659314.209999997</v>
      </c>
      <c r="F8" s="687">
        <v>359243.62</v>
      </c>
      <c r="G8" s="687">
        <v>658188.48</v>
      </c>
      <c r="H8" s="687"/>
      <c r="I8" s="687">
        <f t="shared" si="1"/>
        <v>23867113.596893597</v>
      </c>
      <c r="J8" s="687">
        <v>22829818.015737697</v>
      </c>
      <c r="K8" s="687">
        <v>364723.42008249997</v>
      </c>
      <c r="L8" s="687">
        <v>672572.16107340006</v>
      </c>
      <c r="M8" s="687"/>
      <c r="N8" s="687">
        <f t="shared" si="2"/>
        <v>1037693.1648790209</v>
      </c>
      <c r="O8" s="687">
        <v>548376.12696896296</v>
      </c>
      <c r="P8" s="687">
        <v>73697.316374998001</v>
      </c>
      <c r="Q8" s="687">
        <v>415619.72153505997</v>
      </c>
      <c r="R8" s="687"/>
      <c r="S8" s="697">
        <v>2281</v>
      </c>
      <c r="T8" s="700">
        <v>0.21460764668086299</v>
      </c>
      <c r="U8" s="700">
        <v>0.24934097776597799</v>
      </c>
      <c r="V8" s="700">
        <v>0.19237670831737599</v>
      </c>
      <c r="W8" s="687">
        <v>48.719453837843197</v>
      </c>
    </row>
    <row r="9" spans="1:68" x14ac:dyDescent="0.25">
      <c r="B9" s="703">
        <v>3</v>
      </c>
      <c r="C9" s="707" t="s">
        <v>748</v>
      </c>
      <c r="D9" s="701">
        <f t="shared" si="0"/>
        <v>10886.26</v>
      </c>
      <c r="E9" s="687">
        <v>9739.81</v>
      </c>
      <c r="F9" s="687">
        <v>0</v>
      </c>
      <c r="G9" s="687">
        <v>1146.45</v>
      </c>
      <c r="H9" s="687"/>
      <c r="I9" s="687">
        <f t="shared" si="1"/>
        <v>10910.810000000001</v>
      </c>
      <c r="J9" s="687">
        <v>9764.36</v>
      </c>
      <c r="K9" s="687">
        <v>0</v>
      </c>
      <c r="L9" s="687">
        <v>1146.45</v>
      </c>
      <c r="M9" s="687"/>
      <c r="N9" s="687">
        <f t="shared" si="2"/>
        <v>1229.7904975280001</v>
      </c>
      <c r="O9" s="687">
        <v>604.87180389800005</v>
      </c>
      <c r="P9" s="687">
        <v>0</v>
      </c>
      <c r="Q9" s="687">
        <v>624.91869363000001</v>
      </c>
      <c r="R9" s="687"/>
      <c r="S9" s="697">
        <v>42</v>
      </c>
      <c r="T9" s="700">
        <v>0</v>
      </c>
      <c r="U9" s="700">
        <v>0</v>
      </c>
      <c r="V9" s="700">
        <v>0</v>
      </c>
      <c r="W9" s="687">
        <v>0.412957104239075</v>
      </c>
    </row>
    <row r="10" spans="1:68" x14ac:dyDescent="0.25">
      <c r="B10" s="703">
        <v>4</v>
      </c>
      <c r="C10" s="707" t="s">
        <v>747</v>
      </c>
      <c r="D10" s="701">
        <f t="shared" si="0"/>
        <v>25753.07</v>
      </c>
      <c r="E10" s="687">
        <v>25394.65</v>
      </c>
      <c r="F10" s="687">
        <v>358.42</v>
      </c>
      <c r="G10" s="687">
        <v>0</v>
      </c>
      <c r="H10" s="687"/>
      <c r="I10" s="687">
        <f t="shared" si="1"/>
        <v>24180.884007500001</v>
      </c>
      <c r="J10" s="687">
        <v>23828.378886900002</v>
      </c>
      <c r="K10" s="687">
        <v>352.5051206</v>
      </c>
      <c r="L10" s="687">
        <v>0</v>
      </c>
      <c r="M10" s="687"/>
      <c r="N10" s="687">
        <f t="shared" si="2"/>
        <v>368.420019298</v>
      </c>
      <c r="O10" s="687">
        <v>256.06882699800002</v>
      </c>
      <c r="P10" s="687">
        <v>112.35119229999999</v>
      </c>
      <c r="Q10" s="687">
        <v>0</v>
      </c>
      <c r="R10" s="687"/>
      <c r="S10" s="697">
        <v>28</v>
      </c>
      <c r="T10" s="700">
        <v>0</v>
      </c>
      <c r="U10" s="700">
        <v>0</v>
      </c>
      <c r="V10" s="700">
        <v>0.28000000000000003</v>
      </c>
      <c r="W10" s="687">
        <v>9.4662923682496807</v>
      </c>
    </row>
    <row r="11" spans="1:68" x14ac:dyDescent="0.25">
      <c r="B11" s="703">
        <v>5</v>
      </c>
      <c r="C11" s="707" t="s">
        <v>746</v>
      </c>
      <c r="D11" s="701">
        <f t="shared" si="0"/>
        <v>24792.83</v>
      </c>
      <c r="E11" s="687">
        <v>24789.59</v>
      </c>
      <c r="F11" s="687">
        <v>0</v>
      </c>
      <c r="G11" s="687">
        <v>3.24</v>
      </c>
      <c r="H11" s="687"/>
      <c r="I11" s="687">
        <f t="shared" si="1"/>
        <v>25199.64</v>
      </c>
      <c r="J11" s="687">
        <v>25195.29</v>
      </c>
      <c r="K11" s="687">
        <v>0</v>
      </c>
      <c r="L11" s="687">
        <v>4.3499999999999996</v>
      </c>
      <c r="M11" s="687"/>
      <c r="N11" s="687">
        <f t="shared" si="2"/>
        <v>725.60180011099999</v>
      </c>
      <c r="O11" s="687">
        <v>723.23065761199996</v>
      </c>
      <c r="P11" s="687">
        <v>0</v>
      </c>
      <c r="Q11" s="687">
        <v>2.3711424989999998</v>
      </c>
      <c r="R11" s="687"/>
      <c r="S11" s="697">
        <v>26</v>
      </c>
      <c r="T11" s="700">
        <v>0.48</v>
      </c>
      <c r="U11" s="700">
        <v>0</v>
      </c>
      <c r="V11" s="700">
        <v>0.17201628051335799</v>
      </c>
      <c r="W11" s="687">
        <v>9.2921494996315097</v>
      </c>
    </row>
    <row r="12" spans="1:68" x14ac:dyDescent="0.25">
      <c r="B12" s="703">
        <v>6</v>
      </c>
      <c r="C12" s="707" t="s">
        <v>745</v>
      </c>
      <c r="D12" s="701">
        <f t="shared" si="0"/>
        <v>169931.54</v>
      </c>
      <c r="E12" s="687">
        <v>169243.07</v>
      </c>
      <c r="F12" s="687">
        <v>295.32</v>
      </c>
      <c r="G12" s="687">
        <v>393.15</v>
      </c>
      <c r="H12" s="687"/>
      <c r="I12" s="687">
        <f t="shared" si="1"/>
        <v>170779.53999999998</v>
      </c>
      <c r="J12" s="687">
        <v>170021.05</v>
      </c>
      <c r="K12" s="687">
        <v>318.43</v>
      </c>
      <c r="L12" s="687">
        <v>440.06</v>
      </c>
      <c r="M12" s="687"/>
      <c r="N12" s="687">
        <f t="shared" si="2"/>
        <v>8552.8894848240016</v>
      </c>
      <c r="O12" s="687">
        <v>8215.1354782540002</v>
      </c>
      <c r="P12" s="687">
        <v>97.881600070000005</v>
      </c>
      <c r="Q12" s="687">
        <v>239.87240650000001</v>
      </c>
      <c r="R12" s="687"/>
      <c r="S12" s="697">
        <v>125</v>
      </c>
      <c r="T12" s="700">
        <v>0.36</v>
      </c>
      <c r="U12" s="700">
        <v>0.44900000000000001</v>
      </c>
      <c r="V12" s="700">
        <v>0.30782357177484498</v>
      </c>
      <c r="W12" s="687">
        <v>32.661628223930599</v>
      </c>
    </row>
    <row r="13" spans="1:68" x14ac:dyDescent="0.25">
      <c r="B13" s="703">
        <v>7</v>
      </c>
      <c r="C13" s="707" t="s">
        <v>744</v>
      </c>
      <c r="D13" s="701">
        <f t="shared" si="0"/>
        <v>4720731.46</v>
      </c>
      <c r="E13" s="687">
        <v>4135467.44</v>
      </c>
      <c r="F13" s="687">
        <v>585264.02</v>
      </c>
      <c r="G13" s="687">
        <v>0</v>
      </c>
      <c r="H13" s="687"/>
      <c r="I13" s="687">
        <f t="shared" si="1"/>
        <v>4744083.6634999998</v>
      </c>
      <c r="J13" s="687">
        <v>4145148.5198999997</v>
      </c>
      <c r="K13" s="687">
        <v>598935.14359999995</v>
      </c>
      <c r="L13" s="687">
        <v>0</v>
      </c>
      <c r="M13" s="687"/>
      <c r="N13" s="687">
        <f t="shared" si="2"/>
        <v>276340.6291973</v>
      </c>
      <c r="O13" s="687">
        <v>99412.575097299996</v>
      </c>
      <c r="P13" s="687">
        <v>176928.05410000001</v>
      </c>
      <c r="Q13" s="687">
        <v>0</v>
      </c>
      <c r="R13" s="687"/>
      <c r="S13" s="697">
        <v>34</v>
      </c>
      <c r="T13" s="700">
        <v>0.14063861613848599</v>
      </c>
      <c r="U13" s="700">
        <v>0.15311812848794301</v>
      </c>
      <c r="V13" s="700">
        <v>0.13782492281609199</v>
      </c>
      <c r="W13" s="687">
        <v>148.73798948733199</v>
      </c>
    </row>
    <row r="14" spans="1:68" s="708" customFormat="1" x14ac:dyDescent="0.25">
      <c r="A14" s="708" t="s">
        <v>619</v>
      </c>
      <c r="B14" s="699">
        <v>7.1</v>
      </c>
      <c r="C14" s="698" t="s">
        <v>743</v>
      </c>
      <c r="D14" s="701">
        <f t="shared" si="0"/>
        <v>3737790.17</v>
      </c>
      <c r="E14" s="687">
        <v>3152526.15</v>
      </c>
      <c r="F14" s="687">
        <v>585264.02</v>
      </c>
      <c r="G14" s="687">
        <v>0</v>
      </c>
      <c r="H14" s="687"/>
      <c r="I14" s="687">
        <f t="shared" si="1"/>
        <v>3759995.0513800001</v>
      </c>
      <c r="J14" s="687">
        <v>3161059.90778</v>
      </c>
      <c r="K14" s="687">
        <v>598935.14359999995</v>
      </c>
      <c r="L14" s="687">
        <v>0</v>
      </c>
      <c r="M14" s="687"/>
      <c r="N14" s="687">
        <f t="shared" si="2"/>
        <v>243487.61794289999</v>
      </c>
      <c r="O14" s="687">
        <v>66559.563842899996</v>
      </c>
      <c r="P14" s="687">
        <v>176928.05410000001</v>
      </c>
      <c r="Q14" s="687">
        <v>0</v>
      </c>
      <c r="R14" s="687"/>
      <c r="S14" s="697">
        <v>21</v>
      </c>
      <c r="T14" s="700">
        <v>0.14104457151913899</v>
      </c>
      <c r="U14" s="700">
        <v>0.15259601364732001</v>
      </c>
      <c r="V14" s="700">
        <v>0.13924117678869</v>
      </c>
      <c r="W14" s="687">
        <v>151.72656788917601</v>
      </c>
      <c r="X14" s="696"/>
      <c r="Y14" s="696"/>
      <c r="Z14" s="696"/>
      <c r="AA14" s="696"/>
      <c r="AB14" s="696"/>
      <c r="AC14" s="696"/>
      <c r="AD14" s="696"/>
      <c r="AE14" s="696"/>
      <c r="AF14" s="696"/>
      <c r="AG14" s="696"/>
      <c r="AH14" s="696"/>
      <c r="AI14" s="696"/>
      <c r="AJ14" s="696"/>
      <c r="AK14" s="696"/>
      <c r="AL14" s="696"/>
      <c r="AM14" s="696"/>
      <c r="AN14" s="696"/>
      <c r="AO14" s="696"/>
      <c r="AP14" s="696"/>
      <c r="AQ14" s="696"/>
      <c r="AR14" s="696"/>
      <c r="AS14" s="696"/>
      <c r="AT14" s="696"/>
      <c r="AU14" s="696"/>
      <c r="AV14" s="696"/>
      <c r="AW14" s="696"/>
      <c r="AX14" s="696"/>
      <c r="AY14" s="696"/>
      <c r="AZ14" s="696"/>
      <c r="BA14" s="696"/>
      <c r="BB14" s="696"/>
      <c r="BC14" s="696"/>
      <c r="BD14" s="696"/>
      <c r="BE14" s="696"/>
      <c r="BF14" s="696"/>
      <c r="BG14" s="696"/>
      <c r="BH14" s="696"/>
      <c r="BI14" s="696"/>
      <c r="BJ14" s="696"/>
      <c r="BK14" s="696"/>
      <c r="BL14" s="696"/>
      <c r="BM14" s="696"/>
      <c r="BN14" s="696"/>
      <c r="BO14" s="696"/>
      <c r="BP14" s="696"/>
    </row>
    <row r="15" spans="1:68" s="708" customFormat="1" ht="25.5" x14ac:dyDescent="0.25">
      <c r="A15" s="708" t="s">
        <v>742</v>
      </c>
      <c r="B15" s="699">
        <v>7.2</v>
      </c>
      <c r="C15" s="698" t="s">
        <v>741</v>
      </c>
      <c r="D15" s="701">
        <f t="shared" si="0"/>
        <v>462921.49</v>
      </c>
      <c r="E15" s="687">
        <v>462921.49</v>
      </c>
      <c r="F15" s="687">
        <v>0</v>
      </c>
      <c r="G15" s="687">
        <v>0</v>
      </c>
      <c r="H15" s="687"/>
      <c r="I15" s="687">
        <f t="shared" si="1"/>
        <v>462335.08590000001</v>
      </c>
      <c r="J15" s="687">
        <v>462335.08590000001</v>
      </c>
      <c r="K15" s="687">
        <v>0</v>
      </c>
      <c r="L15" s="687">
        <v>0</v>
      </c>
      <c r="M15" s="687"/>
      <c r="N15" s="687">
        <f t="shared" si="2"/>
        <v>15434.6870741</v>
      </c>
      <c r="O15" s="687">
        <v>15434.6870741</v>
      </c>
      <c r="P15" s="687">
        <v>0</v>
      </c>
      <c r="Q15" s="687">
        <v>0</v>
      </c>
      <c r="R15" s="687"/>
      <c r="S15" s="697">
        <v>5</v>
      </c>
      <c r="T15" s="700">
        <v>0.14233613445378099</v>
      </c>
      <c r="U15" s="700">
        <v>0.156336134453781</v>
      </c>
      <c r="V15" s="700">
        <v>0.13247317390687499</v>
      </c>
      <c r="W15" s="687">
        <v>125.36490083016</v>
      </c>
      <c r="X15" s="696"/>
      <c r="Y15" s="696"/>
      <c r="Z15" s="696"/>
      <c r="AA15" s="696"/>
      <c r="AB15" s="696"/>
      <c r="AC15" s="696"/>
      <c r="AD15" s="696"/>
      <c r="AE15" s="696"/>
      <c r="AF15" s="696"/>
      <c r="AG15" s="696"/>
      <c r="AH15" s="696"/>
      <c r="AI15" s="696"/>
      <c r="AJ15" s="696"/>
      <c r="AK15" s="696"/>
      <c r="AL15" s="696"/>
      <c r="AM15" s="696"/>
      <c r="AN15" s="696"/>
      <c r="AO15" s="696"/>
      <c r="AP15" s="696"/>
      <c r="AQ15" s="696"/>
      <c r="AR15" s="696"/>
      <c r="AS15" s="696"/>
      <c r="AT15" s="696"/>
      <c r="AU15" s="696"/>
      <c r="AV15" s="696"/>
      <c r="AW15" s="696"/>
      <c r="AX15" s="696"/>
      <c r="AY15" s="696"/>
      <c r="AZ15" s="696"/>
      <c r="BA15" s="696"/>
      <c r="BB15" s="696"/>
      <c r="BC15" s="696"/>
      <c r="BD15" s="696"/>
      <c r="BE15" s="696"/>
      <c r="BF15" s="696"/>
      <c r="BG15" s="696"/>
      <c r="BH15" s="696"/>
      <c r="BI15" s="696"/>
      <c r="BJ15" s="696"/>
      <c r="BK15" s="696"/>
      <c r="BL15" s="696"/>
      <c r="BM15" s="696"/>
      <c r="BN15" s="696"/>
      <c r="BO15" s="696"/>
      <c r="BP15" s="696"/>
    </row>
    <row r="16" spans="1:68" s="708" customFormat="1" x14ac:dyDescent="0.25">
      <c r="A16" s="709" t="s">
        <v>740</v>
      </c>
      <c r="B16" s="699">
        <v>7.3</v>
      </c>
      <c r="C16" s="698" t="s">
        <v>739</v>
      </c>
      <c r="D16" s="701">
        <f t="shared" si="0"/>
        <v>520019.8</v>
      </c>
      <c r="E16" s="687">
        <v>520019.8</v>
      </c>
      <c r="F16" s="687">
        <v>0</v>
      </c>
      <c r="G16" s="687">
        <v>0</v>
      </c>
      <c r="H16" s="687"/>
      <c r="I16" s="687">
        <f t="shared" si="1"/>
        <v>521753.52622</v>
      </c>
      <c r="J16" s="687">
        <v>521753.52622</v>
      </c>
      <c r="K16" s="687">
        <v>0</v>
      </c>
      <c r="L16" s="687">
        <v>0</v>
      </c>
      <c r="M16" s="687"/>
      <c r="N16" s="687">
        <f t="shared" si="2"/>
        <v>17418.324180299998</v>
      </c>
      <c r="O16" s="687">
        <v>17418.324180299998</v>
      </c>
      <c r="P16" s="687">
        <v>0</v>
      </c>
      <c r="Q16" s="687">
        <v>0</v>
      </c>
      <c r="R16" s="687"/>
      <c r="S16" s="697">
        <v>8</v>
      </c>
      <c r="T16" s="700">
        <v>0.13655008548709699</v>
      </c>
      <c r="U16" s="700">
        <v>0.152960273558711</v>
      </c>
      <c r="V16" s="700">
        <v>0.13240932018357701</v>
      </c>
      <c r="W16" s="687">
        <v>148.06344989171501</v>
      </c>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6"/>
      <c r="BO16" s="696"/>
      <c r="BP16" s="696"/>
    </row>
    <row r="17" spans="1:23" x14ac:dyDescent="0.25">
      <c r="A17" s="696" t="s">
        <v>738</v>
      </c>
      <c r="B17" s="703">
        <v>8</v>
      </c>
      <c r="C17" s="707" t="s">
        <v>737</v>
      </c>
      <c r="D17" s="701">
        <f t="shared" si="0"/>
        <v>0</v>
      </c>
      <c r="E17" s="687">
        <v>0</v>
      </c>
      <c r="F17" s="687">
        <v>0</v>
      </c>
      <c r="G17" s="687">
        <v>0</v>
      </c>
      <c r="H17" s="687"/>
      <c r="I17" s="687">
        <f t="shared" si="1"/>
        <v>0</v>
      </c>
      <c r="J17" s="687">
        <v>0</v>
      </c>
      <c r="K17" s="687">
        <v>0</v>
      </c>
      <c r="L17" s="687">
        <v>0</v>
      </c>
      <c r="M17" s="687"/>
      <c r="N17" s="687">
        <f t="shared" si="2"/>
        <v>0</v>
      </c>
      <c r="O17" s="687">
        <v>0</v>
      </c>
      <c r="P17" s="687">
        <v>0</v>
      </c>
      <c r="Q17" s="687">
        <v>0</v>
      </c>
      <c r="R17" s="687"/>
      <c r="S17" s="697">
        <v>0</v>
      </c>
      <c r="T17" s="700">
        <v>0</v>
      </c>
      <c r="U17" s="700">
        <v>0</v>
      </c>
      <c r="V17" s="700">
        <v>0</v>
      </c>
      <c r="W17" s="687">
        <v>0</v>
      </c>
    </row>
    <row r="18" spans="1:23" x14ac:dyDescent="0.25">
      <c r="B18" s="706">
        <v>9</v>
      </c>
      <c r="C18" s="705" t="s">
        <v>736</v>
      </c>
      <c r="D18" s="701">
        <f t="shared" si="0"/>
        <v>0</v>
      </c>
      <c r="E18" s="687">
        <v>0</v>
      </c>
      <c r="F18" s="687">
        <v>0</v>
      </c>
      <c r="G18" s="687">
        <v>0</v>
      </c>
      <c r="H18" s="704"/>
      <c r="I18" s="687">
        <f t="shared" si="1"/>
        <v>0</v>
      </c>
      <c r="J18" s="687">
        <v>0</v>
      </c>
      <c r="K18" s="687">
        <v>0</v>
      </c>
      <c r="L18" s="687">
        <v>0</v>
      </c>
      <c r="M18" s="704"/>
      <c r="N18" s="687">
        <f t="shared" si="2"/>
        <v>0</v>
      </c>
      <c r="O18" s="687">
        <v>0</v>
      </c>
      <c r="P18" s="687">
        <v>0</v>
      </c>
      <c r="Q18" s="687">
        <v>0</v>
      </c>
      <c r="R18" s="704"/>
      <c r="S18" s="697">
        <v>0</v>
      </c>
      <c r="T18" s="700">
        <v>0</v>
      </c>
      <c r="U18" s="700">
        <v>0</v>
      </c>
      <c r="V18" s="700">
        <v>0</v>
      </c>
      <c r="W18" s="687">
        <v>0</v>
      </c>
    </row>
    <row r="19" spans="1:23" x14ac:dyDescent="0.25">
      <c r="B19" s="703">
        <v>10</v>
      </c>
      <c r="C19" s="702" t="s">
        <v>735</v>
      </c>
      <c r="D19" s="701">
        <f t="shared" si="0"/>
        <v>29665125.719999995</v>
      </c>
      <c r="E19" s="687">
        <f>SUM(E7:E13,E17,E18)</f>
        <v>28057110.539999995</v>
      </c>
      <c r="F19" s="687">
        <f>SUM(F7:F13,F17,F18)</f>
        <v>948283.86</v>
      </c>
      <c r="G19" s="687">
        <f>SUM(G7:G13,G17,G18)</f>
        <v>659731.31999999995</v>
      </c>
      <c r="H19" s="687"/>
      <c r="I19" s="687">
        <f>SUM(I7:I13,I17,I18)</f>
        <v>29890492.297211096</v>
      </c>
      <c r="J19" s="687">
        <f>SUM(J7:J13,J17,J18)</f>
        <v>28248854.147334598</v>
      </c>
      <c r="K19" s="687">
        <f>SUM(K7:K13,K17,K18)</f>
        <v>967475.12880309997</v>
      </c>
      <c r="L19" s="687">
        <f>SUM(L7:L13,L17,L18)</f>
        <v>674163.02107340004</v>
      </c>
      <c r="M19" s="687"/>
      <c r="N19" s="687">
        <f>SUM(N7:N13,N17,N18)</f>
        <v>1366007.5984865816</v>
      </c>
      <c r="O19" s="687">
        <f>SUM(O7:O13,O17,O18)</f>
        <v>698559.28624152497</v>
      </c>
      <c r="P19" s="687">
        <f>SUM(P7:P13,P17,P18)</f>
        <v>250961.42846736801</v>
      </c>
      <c r="Q19" s="687">
        <f>SUM(Q7:Q13,Q17,Q18)</f>
        <v>416486.88377768896</v>
      </c>
      <c r="R19" s="687"/>
      <c r="S19" s="697">
        <v>2619</v>
      </c>
      <c r="T19" s="700">
        <v>0.20516815261621801</v>
      </c>
      <c r="U19" s="700">
        <v>0.23699778683286701</v>
      </c>
      <c r="V19" s="700">
        <v>0.188126840219141</v>
      </c>
      <c r="W19" s="690">
        <v>63.854878263459398</v>
      </c>
    </row>
    <row r="20" spans="1:23" ht="25.5" x14ac:dyDescent="0.25">
      <c r="B20" s="699">
        <v>10.1</v>
      </c>
      <c r="C20" s="698" t="s">
        <v>734</v>
      </c>
      <c r="D20" s="697"/>
      <c r="E20" s="687"/>
      <c r="F20" s="687"/>
      <c r="G20" s="687"/>
      <c r="H20" s="687"/>
      <c r="I20" s="687">
        <f>SUM(J20:M20)</f>
        <v>0</v>
      </c>
      <c r="J20" s="687"/>
      <c r="K20" s="687"/>
      <c r="L20" s="687"/>
      <c r="M20" s="687"/>
      <c r="N20" s="687">
        <f>O20+P20+Q20</f>
        <v>0</v>
      </c>
      <c r="O20" s="687"/>
      <c r="P20" s="687"/>
      <c r="Q20" s="687"/>
      <c r="R20" s="687"/>
      <c r="S20" s="697"/>
      <c r="T20" s="697"/>
      <c r="U20" s="697"/>
      <c r="V20" s="697"/>
      <c r="W20" s="697"/>
    </row>
    <row r="22" spans="1:23" x14ac:dyDescent="0.25">
      <c r="C22" s="756"/>
      <c r="D22" s="757"/>
    </row>
    <row r="23" spans="1:23" s="758" customFormat="1" x14ac:dyDescent="0.25">
      <c r="D23" s="759"/>
      <c r="E23" s="759"/>
      <c r="F23" s="759"/>
      <c r="G23" s="759"/>
      <c r="H23" s="759"/>
      <c r="I23" s="759"/>
      <c r="J23" s="759"/>
      <c r="K23" s="759"/>
      <c r="L23" s="759"/>
      <c r="M23" s="759"/>
      <c r="N23" s="759"/>
      <c r="O23" s="759"/>
      <c r="P23" s="759"/>
      <c r="Q23" s="759"/>
      <c r="R23" s="759"/>
      <c r="S23" s="759"/>
      <c r="T23" s="760"/>
      <c r="U23" s="760"/>
      <c r="V23" s="761"/>
      <c r="W23" s="762"/>
    </row>
    <row r="24" spans="1:23" x14ac:dyDescent="0.25">
      <c r="D24" s="757"/>
    </row>
    <row r="25" spans="1:23" x14ac:dyDescent="0.25">
      <c r="D25" s="757"/>
      <c r="E25" s="757"/>
    </row>
    <row r="26" spans="1:23" x14ac:dyDescent="0.25">
      <c r="I26" s="757"/>
    </row>
    <row r="27" spans="1:23" x14ac:dyDescent="0.25">
      <c r="I27" s="757"/>
    </row>
  </sheetData>
  <mergeCells count="9">
    <mergeCell ref="B5:C6"/>
    <mergeCell ref="W5:W6"/>
    <mergeCell ref="V5:V6"/>
    <mergeCell ref="U5:U6"/>
    <mergeCell ref="T5:T6"/>
    <mergeCell ref="I5:M5"/>
    <mergeCell ref="N5:R5"/>
    <mergeCell ref="S5:S6"/>
    <mergeCell ref="D5: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9AE6E-3DA5-4175-A630-A6FEF6F2398B}">
  <dimension ref="A1:L71"/>
  <sheetViews>
    <sheetView topLeftCell="A42" zoomScale="85" zoomScaleNormal="85" workbookViewId="0">
      <selection activeCell="E71" sqref="E71:H71"/>
    </sheetView>
  </sheetViews>
  <sheetFormatPr defaultRowHeight="15" x14ac:dyDescent="0.25"/>
  <cols>
    <col min="1" max="1" width="8.85546875" style="117"/>
    <col min="2" max="2" width="69.28515625" style="116" customWidth="1"/>
    <col min="3" max="3" width="15.7109375" style="27" customWidth="1"/>
    <col min="4" max="4" width="14.42578125" style="27" customWidth="1"/>
    <col min="5" max="5" width="13.140625" style="27" customWidth="1"/>
    <col min="6" max="6" width="15.140625" style="27" customWidth="1"/>
    <col min="7" max="7" width="13.42578125" style="27" customWidth="1"/>
    <col min="8" max="8" width="13.140625" style="27" customWidth="1"/>
    <col min="9" max="9" width="3" customWidth="1"/>
    <col min="10" max="11" width="13.7109375" customWidth="1"/>
    <col min="12" max="12" width="13.140625" bestFit="1" customWidth="1"/>
  </cols>
  <sheetData>
    <row r="1" spans="1:10" ht="15.75" x14ac:dyDescent="0.3">
      <c r="A1" s="113" t="s">
        <v>94</v>
      </c>
      <c r="B1" s="115" t="str">
        <f>Info!C2</f>
        <v>სს სილქ ბანკი</v>
      </c>
      <c r="C1" s="158"/>
      <c r="D1" s="157"/>
      <c r="E1" s="157"/>
      <c r="F1" s="157"/>
      <c r="G1" s="157"/>
    </row>
    <row r="2" spans="1:10" ht="15.75" x14ac:dyDescent="0.3">
      <c r="A2" s="113" t="s">
        <v>93</v>
      </c>
      <c r="B2" s="114">
        <f>'1. key ratios'!B2</f>
        <v>45565</v>
      </c>
      <c r="C2" s="158"/>
      <c r="D2" s="157"/>
      <c r="E2" s="157"/>
      <c r="F2" s="157"/>
      <c r="G2" s="157"/>
    </row>
    <row r="3" spans="1:10" ht="16.5" thickBot="1" x14ac:dyDescent="0.35">
      <c r="A3" s="113"/>
      <c r="B3" s="21"/>
      <c r="C3" s="158"/>
      <c r="D3" s="157"/>
      <c r="E3" s="157"/>
      <c r="F3" s="157"/>
      <c r="G3" s="157"/>
    </row>
    <row r="4" spans="1:10" ht="40.5" customHeight="1" x14ac:dyDescent="0.25">
      <c r="A4" s="784" t="s">
        <v>89</v>
      </c>
      <c r="B4" s="785" t="s">
        <v>162</v>
      </c>
      <c r="C4" s="787" t="s">
        <v>161</v>
      </c>
      <c r="D4" s="787"/>
      <c r="E4" s="787"/>
      <c r="F4" s="787" t="s">
        <v>160</v>
      </c>
      <c r="G4" s="787"/>
      <c r="H4" s="788"/>
      <c r="J4" s="135"/>
    </row>
    <row r="5" spans="1:10" ht="21" customHeight="1" x14ac:dyDescent="0.25">
      <c r="A5" s="784"/>
      <c r="B5" s="786"/>
      <c r="C5" s="156" t="s">
        <v>159</v>
      </c>
      <c r="D5" s="156" t="s">
        <v>158</v>
      </c>
      <c r="E5" s="156" t="s">
        <v>157</v>
      </c>
      <c r="F5" s="156" t="s">
        <v>159</v>
      </c>
      <c r="G5" s="156" t="s">
        <v>158</v>
      </c>
      <c r="H5" s="156" t="s">
        <v>157</v>
      </c>
    </row>
    <row r="6" spans="1:10" ht="26.45" customHeight="1" x14ac:dyDescent="0.25">
      <c r="A6" s="784"/>
      <c r="B6" s="154" t="s">
        <v>156</v>
      </c>
      <c r="C6" s="153"/>
      <c r="D6" s="152"/>
      <c r="E6" s="152"/>
      <c r="F6" s="152"/>
      <c r="G6" s="152"/>
      <c r="H6" s="151"/>
    </row>
    <row r="7" spans="1:10" ht="23.1" customHeight="1" x14ac:dyDescent="0.25">
      <c r="A7" s="121">
        <v>1</v>
      </c>
      <c r="B7" s="150" t="s">
        <v>155</v>
      </c>
      <c r="C7" s="119">
        <f>SUM(C8:C10)</f>
        <v>33511743.071024884</v>
      </c>
      <c r="D7" s="119">
        <f>SUM(D8:D10)</f>
        <v>15430648.779999994</v>
      </c>
      <c r="E7" s="118">
        <f t="shared" ref="E7:E36" si="0">C7+D7</f>
        <v>48942391.851024881</v>
      </c>
      <c r="F7" s="119">
        <v>64937554.159999974</v>
      </c>
      <c r="G7" s="119">
        <v>4887352.290000001</v>
      </c>
      <c r="H7" s="118">
        <f t="shared" ref="H7:H36" si="1">F7+G7</f>
        <v>69824906.449999973</v>
      </c>
      <c r="J7" s="27"/>
    </row>
    <row r="8" spans="1:10" x14ac:dyDescent="0.25">
      <c r="A8" s="121">
        <v>1.1000000000000001</v>
      </c>
      <c r="B8" s="136" t="s">
        <v>154</v>
      </c>
      <c r="C8" s="119">
        <v>1108566.1000000015</v>
      </c>
      <c r="D8" s="119">
        <v>3756195.6899999995</v>
      </c>
      <c r="E8" s="118">
        <f t="shared" si="0"/>
        <v>4864761.790000001</v>
      </c>
      <c r="F8" s="119">
        <v>953605.2799999984</v>
      </c>
      <c r="G8" s="119">
        <v>1265069.1200000029</v>
      </c>
      <c r="H8" s="118">
        <f t="shared" si="1"/>
        <v>2218674.4000000013</v>
      </c>
    </row>
    <row r="9" spans="1:10" x14ac:dyDescent="0.25">
      <c r="A9" s="121">
        <v>1.2</v>
      </c>
      <c r="B9" s="136" t="s">
        <v>153</v>
      </c>
      <c r="C9" s="119">
        <v>1460110.0999999046</v>
      </c>
      <c r="D9" s="119">
        <v>3341485.0099999988</v>
      </c>
      <c r="E9" s="118">
        <f t="shared" si="0"/>
        <v>4801595.1099999035</v>
      </c>
      <c r="F9" s="119">
        <v>4628333.969999969</v>
      </c>
      <c r="G9" s="119">
        <v>1968637.9200000013</v>
      </c>
      <c r="H9" s="118">
        <f t="shared" si="1"/>
        <v>6596971.8899999708</v>
      </c>
    </row>
    <row r="10" spans="1:10" x14ac:dyDescent="0.25">
      <c r="A10" s="121">
        <v>1.3</v>
      </c>
      <c r="B10" s="136" t="s">
        <v>152</v>
      </c>
      <c r="C10" s="138">
        <v>30943066.871024977</v>
      </c>
      <c r="D10" s="138">
        <v>8332968.0799999954</v>
      </c>
      <c r="E10" s="118">
        <f t="shared" si="0"/>
        <v>39276034.951024972</v>
      </c>
      <c r="F10" s="119">
        <v>59355614.910000004</v>
      </c>
      <c r="G10" s="119">
        <v>1653645.2499999967</v>
      </c>
      <c r="H10" s="118">
        <f t="shared" si="1"/>
        <v>61009260.160000004</v>
      </c>
    </row>
    <row r="11" spans="1:10" x14ac:dyDescent="0.25">
      <c r="A11" s="121">
        <v>2</v>
      </c>
      <c r="B11" s="127" t="s">
        <v>151</v>
      </c>
      <c r="C11" s="119">
        <f>C12</f>
        <v>775793.56854843523</v>
      </c>
      <c r="D11" s="119">
        <f>D12</f>
        <v>0</v>
      </c>
      <c r="E11" s="118">
        <f t="shared" si="0"/>
        <v>775793.56854843523</v>
      </c>
      <c r="F11" s="119">
        <v>0</v>
      </c>
      <c r="G11" s="119">
        <v>13720</v>
      </c>
      <c r="H11" s="118">
        <f t="shared" si="1"/>
        <v>13720</v>
      </c>
      <c r="J11" s="27"/>
    </row>
    <row r="12" spans="1:10" x14ac:dyDescent="0.25">
      <c r="A12" s="121">
        <v>2.1</v>
      </c>
      <c r="B12" s="141" t="s">
        <v>126</v>
      </c>
      <c r="C12" s="119">
        <v>775793.56854843523</v>
      </c>
      <c r="D12" s="119">
        <v>0</v>
      </c>
      <c r="E12" s="118">
        <f t="shared" si="0"/>
        <v>775793.56854843523</v>
      </c>
      <c r="F12" s="119">
        <v>0</v>
      </c>
      <c r="G12" s="119">
        <v>13720</v>
      </c>
      <c r="H12" s="118">
        <f t="shared" si="1"/>
        <v>13720</v>
      </c>
    </row>
    <row r="13" spans="1:10" ht="26.45" customHeight="1" x14ac:dyDescent="0.25">
      <c r="A13" s="121">
        <v>3</v>
      </c>
      <c r="B13" s="147" t="s">
        <v>150</v>
      </c>
      <c r="C13" s="119"/>
      <c r="D13" s="119"/>
      <c r="E13" s="118">
        <f t="shared" si="0"/>
        <v>0</v>
      </c>
      <c r="F13" s="119"/>
      <c r="G13" s="119"/>
      <c r="H13" s="118">
        <f t="shared" si="1"/>
        <v>0</v>
      </c>
    </row>
    <row r="14" spans="1:10" ht="26.45" customHeight="1" x14ac:dyDescent="0.25">
      <c r="A14" s="121">
        <v>4</v>
      </c>
      <c r="B14" s="123" t="s">
        <v>149</v>
      </c>
      <c r="C14" s="119"/>
      <c r="D14" s="119"/>
      <c r="E14" s="118">
        <f t="shared" si="0"/>
        <v>0</v>
      </c>
      <c r="F14" s="119"/>
      <c r="G14" s="119"/>
      <c r="H14" s="118">
        <f t="shared" si="1"/>
        <v>0</v>
      </c>
    </row>
    <row r="15" spans="1:10" ht="24.6" customHeight="1" x14ac:dyDescent="0.25">
      <c r="A15" s="121">
        <v>5</v>
      </c>
      <c r="B15" s="123" t="s">
        <v>148</v>
      </c>
      <c r="C15" s="149">
        <f>SUM(C16:C18)</f>
        <v>20000</v>
      </c>
      <c r="D15" s="149">
        <f>SUM(D16:D18)</f>
        <v>0</v>
      </c>
      <c r="E15" s="148">
        <f t="shared" si="0"/>
        <v>20000</v>
      </c>
      <c r="F15" s="149">
        <v>20000</v>
      </c>
      <c r="G15" s="149">
        <v>0</v>
      </c>
      <c r="H15" s="148">
        <f t="shared" si="1"/>
        <v>20000</v>
      </c>
    </row>
    <row r="16" spans="1:10" x14ac:dyDescent="0.25">
      <c r="A16" s="121">
        <v>5.0999999999999996</v>
      </c>
      <c r="B16" s="126" t="s">
        <v>147</v>
      </c>
      <c r="C16" s="119">
        <v>20000</v>
      </c>
      <c r="D16" s="119"/>
      <c r="E16" s="118">
        <f t="shared" si="0"/>
        <v>20000</v>
      </c>
      <c r="F16" s="119">
        <v>20000</v>
      </c>
      <c r="G16" s="119"/>
      <c r="H16" s="118">
        <f t="shared" si="1"/>
        <v>20000</v>
      </c>
    </row>
    <row r="17" spans="1:10" x14ac:dyDescent="0.25">
      <c r="A17" s="121">
        <v>5.2</v>
      </c>
      <c r="B17" s="126" t="s">
        <v>145</v>
      </c>
      <c r="C17" s="119"/>
      <c r="D17" s="119"/>
      <c r="E17" s="118">
        <f t="shared" si="0"/>
        <v>0</v>
      </c>
      <c r="F17" s="119"/>
      <c r="G17" s="119"/>
      <c r="H17" s="118">
        <f t="shared" si="1"/>
        <v>0</v>
      </c>
    </row>
    <row r="18" spans="1:10" x14ac:dyDescent="0.25">
      <c r="A18" s="121">
        <v>5.3</v>
      </c>
      <c r="B18" s="126" t="s">
        <v>144</v>
      </c>
      <c r="C18" s="119"/>
      <c r="D18" s="119"/>
      <c r="E18" s="118">
        <f t="shared" si="0"/>
        <v>0</v>
      </c>
      <c r="F18" s="119"/>
      <c r="G18" s="119"/>
      <c r="H18" s="118">
        <f t="shared" si="1"/>
        <v>0</v>
      </c>
    </row>
    <row r="19" spans="1:10" x14ac:dyDescent="0.25">
      <c r="A19" s="121">
        <v>6</v>
      </c>
      <c r="B19" s="147" t="s">
        <v>146</v>
      </c>
      <c r="C19" s="119">
        <f>SUM(C20:C21)</f>
        <v>81786428.880795211</v>
      </c>
      <c r="D19" s="119">
        <f>SUM(D20:D21)</f>
        <v>49291131.199440494</v>
      </c>
      <c r="E19" s="118">
        <f t="shared" si="0"/>
        <v>131077560.0802357</v>
      </c>
      <c r="F19" s="119">
        <v>37550930.86545413</v>
      </c>
      <c r="G19" s="119">
        <v>8622718.0032036975</v>
      </c>
      <c r="H19" s="118">
        <f t="shared" si="1"/>
        <v>46173648.868657827</v>
      </c>
      <c r="J19" s="27"/>
    </row>
    <row r="20" spans="1:10" x14ac:dyDescent="0.25">
      <c r="A20" s="121">
        <v>6.1</v>
      </c>
      <c r="B20" s="126" t="s">
        <v>145</v>
      </c>
      <c r="C20" s="119">
        <v>24302871.689048838</v>
      </c>
      <c r="D20" s="119">
        <v>2297226.3138039997</v>
      </c>
      <c r="E20" s="118">
        <f t="shared" si="0"/>
        <v>26600098.002852838</v>
      </c>
      <c r="F20" s="119">
        <v>25010350.438634034</v>
      </c>
      <c r="G20" s="119"/>
      <c r="H20" s="118">
        <f t="shared" si="1"/>
        <v>25010350.438634034</v>
      </c>
    </row>
    <row r="21" spans="1:10" x14ac:dyDescent="0.25">
      <c r="A21" s="121">
        <v>6.2</v>
      </c>
      <c r="B21" s="126" t="s">
        <v>144</v>
      </c>
      <c r="C21" s="119">
        <v>57483557.191746369</v>
      </c>
      <c r="D21" s="119">
        <v>46993904.885636494</v>
      </c>
      <c r="E21" s="118">
        <f t="shared" si="0"/>
        <v>104477462.07738286</v>
      </c>
      <c r="F21" s="138">
        <v>12540580.426820096</v>
      </c>
      <c r="G21" s="138">
        <v>8622718.0032036975</v>
      </c>
      <c r="H21" s="118">
        <f t="shared" si="1"/>
        <v>21163298.430023793</v>
      </c>
    </row>
    <row r="22" spans="1:10" x14ac:dyDescent="0.25">
      <c r="A22" s="121">
        <v>7</v>
      </c>
      <c r="B22" s="146" t="s">
        <v>143</v>
      </c>
      <c r="C22" s="119"/>
      <c r="D22" s="119"/>
      <c r="E22" s="118">
        <f t="shared" si="0"/>
        <v>0</v>
      </c>
      <c r="F22" s="119"/>
      <c r="G22" s="119"/>
      <c r="H22" s="118">
        <f t="shared" si="1"/>
        <v>0</v>
      </c>
    </row>
    <row r="23" spans="1:10" ht="21" x14ac:dyDescent="0.25">
      <c r="A23" s="121">
        <v>8</v>
      </c>
      <c r="B23" s="145" t="s">
        <v>142</v>
      </c>
      <c r="C23" s="119">
        <v>3405446.1870027352</v>
      </c>
      <c r="D23" s="119">
        <v>0</v>
      </c>
      <c r="E23" s="118">
        <f t="shared" si="0"/>
        <v>3405446.1870027352</v>
      </c>
      <c r="F23" s="119">
        <v>3389411.9415073614</v>
      </c>
      <c r="G23" s="119">
        <v>0</v>
      </c>
      <c r="H23" s="118">
        <f t="shared" si="1"/>
        <v>3389411.9415073614</v>
      </c>
      <c r="J23" s="27"/>
    </row>
    <row r="24" spans="1:10" x14ac:dyDescent="0.25">
      <c r="A24" s="121">
        <v>9</v>
      </c>
      <c r="B24" s="123" t="s">
        <v>141</v>
      </c>
      <c r="C24" s="119">
        <f>SUM(C25:C26)</f>
        <v>17637849.192647908</v>
      </c>
      <c r="D24" s="119">
        <f>SUM(D25:D26)</f>
        <v>0</v>
      </c>
      <c r="E24" s="118">
        <f t="shared" si="0"/>
        <v>17637849.192647908</v>
      </c>
      <c r="F24" s="119">
        <v>19081042.57</v>
      </c>
      <c r="G24" s="119">
        <v>0</v>
      </c>
      <c r="H24" s="118">
        <f t="shared" si="1"/>
        <v>19081042.57</v>
      </c>
      <c r="J24" s="27"/>
    </row>
    <row r="25" spans="1:10" x14ac:dyDescent="0.25">
      <c r="A25" s="121">
        <v>9.1</v>
      </c>
      <c r="B25" s="124" t="s">
        <v>140</v>
      </c>
      <c r="C25" s="119">
        <v>17637849.192647908</v>
      </c>
      <c r="D25" s="119"/>
      <c r="E25" s="118">
        <f t="shared" si="0"/>
        <v>17637849.192647908</v>
      </c>
      <c r="F25" s="119">
        <v>19081042.57</v>
      </c>
      <c r="G25" s="119"/>
      <c r="H25" s="118">
        <f t="shared" si="1"/>
        <v>19081042.57</v>
      </c>
      <c r="J25" s="27"/>
    </row>
    <row r="26" spans="1:10" x14ac:dyDescent="0.25">
      <c r="A26" s="121">
        <v>9.1999999999999993</v>
      </c>
      <c r="B26" s="124" t="s">
        <v>139</v>
      </c>
      <c r="C26" s="119"/>
      <c r="D26" s="119"/>
      <c r="E26" s="118">
        <f t="shared" si="0"/>
        <v>0</v>
      </c>
      <c r="F26" s="119"/>
      <c r="G26" s="119"/>
      <c r="H26" s="118">
        <f t="shared" si="1"/>
        <v>0</v>
      </c>
      <c r="J26" s="27"/>
    </row>
    <row r="27" spans="1:10" x14ac:dyDescent="0.25">
      <c r="A27" s="121">
        <v>10</v>
      </c>
      <c r="B27" s="123" t="s">
        <v>138</v>
      </c>
      <c r="C27" s="119">
        <f>SUM(C28:C29)</f>
        <v>1471438.6299999997</v>
      </c>
      <c r="D27" s="119">
        <f>SUM(D28:D29)</f>
        <v>0</v>
      </c>
      <c r="E27" s="118">
        <f t="shared" si="0"/>
        <v>1471438.6299999997</v>
      </c>
      <c r="F27" s="119">
        <v>795839.35999999987</v>
      </c>
      <c r="G27" s="119">
        <v>0</v>
      </c>
      <c r="H27" s="118">
        <f t="shared" si="1"/>
        <v>795839.35999999987</v>
      </c>
      <c r="J27" s="27"/>
    </row>
    <row r="28" spans="1:10" x14ac:dyDescent="0.25">
      <c r="A28" s="121">
        <v>10.1</v>
      </c>
      <c r="B28" s="124" t="s">
        <v>137</v>
      </c>
      <c r="C28" s="119"/>
      <c r="D28" s="119"/>
      <c r="E28" s="118">
        <f t="shared" si="0"/>
        <v>0</v>
      </c>
      <c r="F28" s="119"/>
      <c r="G28" s="119"/>
      <c r="H28" s="118">
        <f t="shared" si="1"/>
        <v>0</v>
      </c>
      <c r="J28" s="27"/>
    </row>
    <row r="29" spans="1:10" x14ac:dyDescent="0.25">
      <c r="A29" s="121">
        <v>10.199999999999999</v>
      </c>
      <c r="B29" s="124" t="s">
        <v>136</v>
      </c>
      <c r="C29" s="119">
        <v>1471438.6299999997</v>
      </c>
      <c r="D29" s="119"/>
      <c r="E29" s="118">
        <f t="shared" si="0"/>
        <v>1471438.6299999997</v>
      </c>
      <c r="F29" s="119">
        <v>795839.35999999987</v>
      </c>
      <c r="G29" s="119"/>
      <c r="H29" s="118">
        <f t="shared" si="1"/>
        <v>795839.35999999987</v>
      </c>
      <c r="J29" s="27"/>
    </row>
    <row r="30" spans="1:10" x14ac:dyDescent="0.25">
      <c r="A30" s="121">
        <v>11</v>
      </c>
      <c r="B30" s="123" t="s">
        <v>135</v>
      </c>
      <c r="C30" s="119">
        <f>SUM(C31:C32)</f>
        <v>45248.5</v>
      </c>
      <c r="D30" s="119">
        <f>SUM(D31:D32)</f>
        <v>0</v>
      </c>
      <c r="E30" s="118">
        <f t="shared" si="0"/>
        <v>45248.5</v>
      </c>
      <c r="F30" s="119">
        <v>45248.5</v>
      </c>
      <c r="G30" s="119">
        <v>0</v>
      </c>
      <c r="H30" s="118">
        <f t="shared" si="1"/>
        <v>45248.5</v>
      </c>
      <c r="J30" s="27"/>
    </row>
    <row r="31" spans="1:10" x14ac:dyDescent="0.25">
      <c r="A31" s="121">
        <v>11.1</v>
      </c>
      <c r="B31" s="124" t="s">
        <v>134</v>
      </c>
      <c r="C31" s="119">
        <v>45248.5</v>
      </c>
      <c r="D31" s="119"/>
      <c r="E31" s="118">
        <f t="shared" si="0"/>
        <v>45248.5</v>
      </c>
      <c r="F31" s="119">
        <v>45248.5</v>
      </c>
      <c r="G31" s="119"/>
      <c r="H31" s="118">
        <f t="shared" si="1"/>
        <v>45248.5</v>
      </c>
      <c r="J31" s="27"/>
    </row>
    <row r="32" spans="1:10" x14ac:dyDescent="0.25">
      <c r="A32" s="121">
        <v>11.2</v>
      </c>
      <c r="B32" s="124" t="s">
        <v>133</v>
      </c>
      <c r="C32" s="119"/>
      <c r="D32" s="119"/>
      <c r="E32" s="118">
        <f t="shared" si="0"/>
        <v>0</v>
      </c>
      <c r="F32" s="119"/>
      <c r="G32" s="119"/>
      <c r="H32" s="118">
        <f t="shared" si="1"/>
        <v>0</v>
      </c>
      <c r="J32" s="27"/>
    </row>
    <row r="33" spans="1:12" x14ac:dyDescent="0.25">
      <c r="A33" s="121">
        <v>13</v>
      </c>
      <c r="B33" s="123" t="s">
        <v>132</v>
      </c>
      <c r="C33" s="138">
        <v>11967317.299500002</v>
      </c>
      <c r="D33" s="138">
        <v>55587.73000000001</v>
      </c>
      <c r="E33" s="118">
        <f t="shared" si="0"/>
        <v>12022905.029500002</v>
      </c>
      <c r="F33" s="119">
        <v>1502195.3199999998</v>
      </c>
      <c r="G33" s="119">
        <v>223653.14</v>
      </c>
      <c r="H33" s="118">
        <f t="shared" si="1"/>
        <v>1725848.46</v>
      </c>
      <c r="J33" s="27"/>
    </row>
    <row r="34" spans="1:12" x14ac:dyDescent="0.25">
      <c r="A34" s="121">
        <v>13.1</v>
      </c>
      <c r="B34" s="144" t="s">
        <v>131</v>
      </c>
      <c r="C34" s="119"/>
      <c r="D34" s="119"/>
      <c r="E34" s="118">
        <f t="shared" si="0"/>
        <v>0</v>
      </c>
      <c r="F34" s="119"/>
      <c r="G34" s="119"/>
      <c r="H34" s="118">
        <f t="shared" si="1"/>
        <v>0</v>
      </c>
      <c r="J34" s="27"/>
    </row>
    <row r="35" spans="1:12" x14ac:dyDescent="0.25">
      <c r="A35" s="121">
        <v>13.2</v>
      </c>
      <c r="B35" s="144" t="s">
        <v>130</v>
      </c>
      <c r="C35" s="119"/>
      <c r="D35" s="119"/>
      <c r="E35" s="118">
        <f t="shared" si="0"/>
        <v>0</v>
      </c>
      <c r="F35" s="119"/>
      <c r="G35" s="119"/>
      <c r="H35" s="118">
        <f t="shared" si="1"/>
        <v>0</v>
      </c>
      <c r="J35" s="27"/>
    </row>
    <row r="36" spans="1:12" x14ac:dyDescent="0.25">
      <c r="A36" s="121">
        <v>14</v>
      </c>
      <c r="B36" s="129" t="s">
        <v>129</v>
      </c>
      <c r="C36" s="119">
        <f>SUM(C7,C11,C13,C14,C15,C19,C22,C23,C24,C27,C30,C33)</f>
        <v>150621265.32951915</v>
      </c>
      <c r="D36" s="119">
        <f>SUM(D7,D11,D13,D14,D15,D19,D22,D23,D24,D27,D30,D33)</f>
        <v>64777367.709440485</v>
      </c>
      <c r="E36" s="118">
        <f t="shared" si="0"/>
        <v>215398633.03895962</v>
      </c>
      <c r="F36" s="119">
        <v>127322222.71696146</v>
      </c>
      <c r="G36" s="119">
        <v>13747443.433203699</v>
      </c>
      <c r="H36" s="118">
        <f t="shared" si="1"/>
        <v>141069666.15016517</v>
      </c>
      <c r="J36" s="27"/>
    </row>
    <row r="37" spans="1:12" ht="22.5" customHeight="1" x14ac:dyDescent="0.25">
      <c r="A37" s="121"/>
      <c r="B37" s="134" t="s">
        <v>128</v>
      </c>
      <c r="C37" s="133"/>
      <c r="D37" s="132"/>
      <c r="E37" s="143"/>
      <c r="F37" s="132"/>
      <c r="G37" s="132"/>
      <c r="H37" s="131"/>
    </row>
    <row r="38" spans="1:12" x14ac:dyDescent="0.25">
      <c r="A38" s="121">
        <v>15</v>
      </c>
      <c r="B38" s="142" t="s">
        <v>127</v>
      </c>
      <c r="C38" s="119">
        <f>C39</f>
        <v>240</v>
      </c>
      <c r="D38" s="119">
        <f>D39</f>
        <v>0</v>
      </c>
      <c r="E38" s="118">
        <f t="shared" ref="E38:E53" si="2">C38+D38</f>
        <v>240</v>
      </c>
      <c r="F38" s="119">
        <v>12530</v>
      </c>
      <c r="G38" s="119">
        <v>217453.9425461124</v>
      </c>
      <c r="H38" s="118">
        <f t="shared" ref="H38:H53" si="3">F38+G38</f>
        <v>229983.9425461124</v>
      </c>
      <c r="L38" s="135"/>
    </row>
    <row r="39" spans="1:12" x14ac:dyDescent="0.25">
      <c r="A39" s="121">
        <v>15.1</v>
      </c>
      <c r="B39" s="141" t="s">
        <v>126</v>
      </c>
      <c r="C39" s="119">
        <v>240</v>
      </c>
      <c r="D39" s="119">
        <v>0</v>
      </c>
      <c r="E39" s="118">
        <f t="shared" si="2"/>
        <v>240</v>
      </c>
      <c r="F39" s="119">
        <v>12530</v>
      </c>
      <c r="G39" s="119">
        <v>217453.9425461124</v>
      </c>
      <c r="H39" s="118">
        <f t="shared" si="3"/>
        <v>229983.9425461124</v>
      </c>
      <c r="J39" s="27"/>
    </row>
    <row r="40" spans="1:12" ht="24" customHeight="1" x14ac:dyDescent="0.25">
      <c r="A40" s="121">
        <v>16</v>
      </c>
      <c r="B40" s="140" t="s">
        <v>125</v>
      </c>
      <c r="C40" s="119"/>
      <c r="D40" s="119"/>
      <c r="E40" s="118">
        <f t="shared" si="2"/>
        <v>0</v>
      </c>
      <c r="F40" s="119"/>
      <c r="G40" s="119"/>
      <c r="H40" s="118">
        <f t="shared" si="3"/>
        <v>0</v>
      </c>
      <c r="J40" s="135"/>
    </row>
    <row r="41" spans="1:12" ht="21" x14ac:dyDescent="0.25">
      <c r="A41" s="121">
        <v>17</v>
      </c>
      <c r="B41" s="140" t="s">
        <v>124</v>
      </c>
      <c r="C41" s="119">
        <f>SUM(C42:C45)</f>
        <v>121692320.0031103</v>
      </c>
      <c r="D41" s="119">
        <f>SUM(D42:D45)</f>
        <v>31785173.871245619</v>
      </c>
      <c r="E41" s="118">
        <f t="shared" si="2"/>
        <v>153477493.87435591</v>
      </c>
      <c r="F41" s="119">
        <v>66435760.125296876</v>
      </c>
      <c r="G41" s="119">
        <v>14163377.689999999</v>
      </c>
      <c r="H41" s="118">
        <f t="shared" si="3"/>
        <v>80599137.815296873</v>
      </c>
      <c r="L41" s="139"/>
    </row>
    <row r="42" spans="1:12" x14ac:dyDescent="0.25">
      <c r="A42" s="121">
        <v>17.100000000000001</v>
      </c>
      <c r="B42" s="128" t="s">
        <v>123</v>
      </c>
      <c r="C42" s="138">
        <v>121674978.20317638</v>
      </c>
      <c r="D42" s="138">
        <v>30760988.990000006</v>
      </c>
      <c r="E42" s="118">
        <f t="shared" si="2"/>
        <v>152435967.19317639</v>
      </c>
      <c r="F42" s="138">
        <v>66404841.855296873</v>
      </c>
      <c r="G42" s="138">
        <v>13941221.16</v>
      </c>
      <c r="H42" s="118">
        <f t="shared" si="3"/>
        <v>80346063.015296876</v>
      </c>
      <c r="J42" s="27"/>
    </row>
    <row r="43" spans="1:12" x14ac:dyDescent="0.25">
      <c r="A43" s="121">
        <v>17.2</v>
      </c>
      <c r="B43" s="136" t="s">
        <v>122</v>
      </c>
      <c r="C43" s="119">
        <v>0</v>
      </c>
      <c r="D43" s="119">
        <v>0</v>
      </c>
      <c r="E43" s="118">
        <f t="shared" si="2"/>
        <v>0</v>
      </c>
      <c r="F43" s="119">
        <v>0</v>
      </c>
      <c r="G43" s="119">
        <v>0</v>
      </c>
      <c r="H43" s="118">
        <f t="shared" si="3"/>
        <v>0</v>
      </c>
      <c r="J43" s="27"/>
    </row>
    <row r="44" spans="1:12" x14ac:dyDescent="0.25">
      <c r="A44" s="121">
        <v>17.3</v>
      </c>
      <c r="B44" s="128" t="s">
        <v>121</v>
      </c>
      <c r="C44" s="119"/>
      <c r="D44" s="119"/>
      <c r="E44" s="118">
        <f t="shared" si="2"/>
        <v>0</v>
      </c>
      <c r="F44" s="119"/>
      <c r="G44" s="119"/>
      <c r="H44" s="118">
        <f t="shared" si="3"/>
        <v>0</v>
      </c>
    </row>
    <row r="45" spans="1:12" x14ac:dyDescent="0.25">
      <c r="A45" s="121">
        <v>17.399999999999999</v>
      </c>
      <c r="B45" s="128" t="s">
        <v>120</v>
      </c>
      <c r="C45" s="138">
        <v>17341.799933922874</v>
      </c>
      <c r="D45" s="138">
        <v>1024184.8812456136</v>
      </c>
      <c r="E45" s="118">
        <f t="shared" si="2"/>
        <v>1041526.6811795364</v>
      </c>
      <c r="F45" s="138">
        <v>30918.270000000004</v>
      </c>
      <c r="G45" s="138">
        <v>222156.53000000003</v>
      </c>
      <c r="H45" s="118">
        <f t="shared" si="3"/>
        <v>253074.80000000005</v>
      </c>
      <c r="J45" s="27"/>
    </row>
    <row r="46" spans="1:12" x14ac:dyDescent="0.25">
      <c r="A46" s="121">
        <v>18</v>
      </c>
      <c r="B46" s="123" t="s">
        <v>119</v>
      </c>
      <c r="C46" s="119">
        <v>14061.677600252202</v>
      </c>
      <c r="D46" s="119">
        <v>19504.402003726886</v>
      </c>
      <c r="E46" s="118">
        <f t="shared" si="2"/>
        <v>33566.079603979088</v>
      </c>
      <c r="F46" s="138">
        <v>8943.5671997316531</v>
      </c>
      <c r="G46" s="119">
        <v>41898.594405891556</v>
      </c>
      <c r="H46" s="118">
        <f t="shared" si="3"/>
        <v>50842.161605623209</v>
      </c>
      <c r="J46" s="27"/>
    </row>
    <row r="47" spans="1:12" x14ac:dyDescent="0.25">
      <c r="A47" s="121">
        <v>19</v>
      </c>
      <c r="B47" s="123" t="s">
        <v>118</v>
      </c>
      <c r="C47" s="119">
        <f>SUM(C48:C49)</f>
        <v>1307473.9418616393</v>
      </c>
      <c r="D47" s="119">
        <f>SUM(D48:D49)</f>
        <v>0</v>
      </c>
      <c r="E47" s="118">
        <f t="shared" si="2"/>
        <v>1307473.9418616393</v>
      </c>
      <c r="F47" s="119">
        <v>1752441.5988421449</v>
      </c>
      <c r="G47" s="119">
        <v>0</v>
      </c>
      <c r="H47" s="118">
        <f t="shared" si="3"/>
        <v>1752441.5988421449</v>
      </c>
    </row>
    <row r="48" spans="1:12" x14ac:dyDescent="0.25">
      <c r="A48" s="121">
        <v>19.100000000000001</v>
      </c>
      <c r="B48" s="125" t="s">
        <v>117</v>
      </c>
      <c r="C48" s="119">
        <v>0</v>
      </c>
      <c r="D48" s="119">
        <v>0</v>
      </c>
      <c r="E48" s="118">
        <f t="shared" si="2"/>
        <v>0</v>
      </c>
      <c r="F48" s="119">
        <v>0</v>
      </c>
      <c r="G48" s="119">
        <v>0</v>
      </c>
      <c r="H48" s="118">
        <f t="shared" si="3"/>
        <v>0</v>
      </c>
    </row>
    <row r="49" spans="1:12" x14ac:dyDescent="0.25">
      <c r="A49" s="121">
        <v>19.2</v>
      </c>
      <c r="B49" s="137" t="s">
        <v>116</v>
      </c>
      <c r="C49" s="119">
        <v>1307473.9418616393</v>
      </c>
      <c r="D49" s="119">
        <v>0</v>
      </c>
      <c r="E49" s="118">
        <f t="shared" si="2"/>
        <v>1307473.9418616393</v>
      </c>
      <c r="F49" s="119">
        <v>1752441.5988421449</v>
      </c>
      <c r="G49" s="119">
        <v>0</v>
      </c>
      <c r="H49" s="118">
        <f t="shared" si="3"/>
        <v>1752441.5988421449</v>
      </c>
      <c r="J49" s="27"/>
    </row>
    <row r="50" spans="1:12" x14ac:dyDescent="0.25">
      <c r="A50" s="121">
        <v>20</v>
      </c>
      <c r="B50" s="129" t="s">
        <v>115</v>
      </c>
      <c r="C50" s="119">
        <v>0</v>
      </c>
      <c r="D50" s="119">
        <v>1839125.4834185585</v>
      </c>
      <c r="E50" s="118">
        <f t="shared" si="2"/>
        <v>1839125.4834185585</v>
      </c>
      <c r="F50" s="119">
        <v>3092397.84</v>
      </c>
      <c r="G50" s="119">
        <v>0</v>
      </c>
      <c r="H50" s="118">
        <f t="shared" si="3"/>
        <v>3092397.84</v>
      </c>
      <c r="J50" s="27"/>
    </row>
    <row r="51" spans="1:12" x14ac:dyDescent="0.25">
      <c r="A51" s="121">
        <v>21</v>
      </c>
      <c r="B51" s="127" t="s">
        <v>114</v>
      </c>
      <c r="C51" s="119">
        <v>564227.3199999996</v>
      </c>
      <c r="D51" s="119">
        <v>289646.24</v>
      </c>
      <c r="E51" s="118">
        <f t="shared" si="2"/>
        <v>853873.55999999959</v>
      </c>
      <c r="F51" s="119">
        <v>517969.3299999999</v>
      </c>
      <c r="G51" s="119">
        <v>223940.33999999991</v>
      </c>
      <c r="H51" s="118">
        <f t="shared" si="3"/>
        <v>741909.66999999981</v>
      </c>
      <c r="J51" s="27"/>
    </row>
    <row r="52" spans="1:12" x14ac:dyDescent="0.25">
      <c r="A52" s="121">
        <v>21.1</v>
      </c>
      <c r="B52" s="136" t="s">
        <v>113</v>
      </c>
      <c r="C52" s="119"/>
      <c r="D52" s="119"/>
      <c r="E52" s="118">
        <f t="shared" si="2"/>
        <v>0</v>
      </c>
      <c r="F52" s="119"/>
      <c r="G52" s="119"/>
      <c r="H52" s="118">
        <f t="shared" si="3"/>
        <v>0</v>
      </c>
    </row>
    <row r="53" spans="1:12" x14ac:dyDescent="0.25">
      <c r="A53" s="121">
        <v>22</v>
      </c>
      <c r="B53" s="129" t="s">
        <v>112</v>
      </c>
      <c r="C53" s="119">
        <f>SUM(C38,C40,C41,C46,C47,C50,C51)</f>
        <v>123578322.94257219</v>
      </c>
      <c r="D53" s="119">
        <f>SUM(D38,D40,D41,D46,D47,D50,D51)</f>
        <v>33933449.996667907</v>
      </c>
      <c r="E53" s="118">
        <f t="shared" si="2"/>
        <v>157511772.9392401</v>
      </c>
      <c r="F53" s="119">
        <v>71820042.461338758</v>
      </c>
      <c r="G53" s="119">
        <v>14646670.566952003</v>
      </c>
      <c r="H53" s="118">
        <f t="shared" si="3"/>
        <v>86466713.028290763</v>
      </c>
      <c r="J53" s="27"/>
      <c r="L53" s="135"/>
    </row>
    <row r="54" spans="1:12" ht="24" customHeight="1" x14ac:dyDescent="0.25">
      <c r="A54" s="121"/>
      <c r="B54" s="134" t="s">
        <v>111</v>
      </c>
      <c r="C54" s="133"/>
      <c r="D54" s="132"/>
      <c r="E54" s="132"/>
      <c r="F54" s="132"/>
      <c r="G54" s="132"/>
      <c r="H54" s="131"/>
    </row>
    <row r="55" spans="1:12" x14ac:dyDescent="0.25">
      <c r="A55" s="121">
        <v>23</v>
      </c>
      <c r="B55" s="129" t="s">
        <v>110</v>
      </c>
      <c r="C55" s="119">
        <v>79746400</v>
      </c>
      <c r="D55" s="119"/>
      <c r="E55" s="118">
        <f t="shared" ref="E55:E69" si="4">C55+D55</f>
        <v>79746400</v>
      </c>
      <c r="F55" s="119">
        <v>62946400</v>
      </c>
      <c r="G55" s="119"/>
      <c r="H55" s="118">
        <f t="shared" ref="H55:H69" si="5">F55+G55</f>
        <v>62946400</v>
      </c>
      <c r="J55" s="27"/>
      <c r="K55" s="130" t="s">
        <v>109</v>
      </c>
    </row>
    <row r="56" spans="1:12" x14ac:dyDescent="0.25">
      <c r="A56" s="121">
        <v>24</v>
      </c>
      <c r="B56" s="129" t="s">
        <v>108</v>
      </c>
      <c r="C56" s="119"/>
      <c r="D56" s="119"/>
      <c r="E56" s="118">
        <f t="shared" si="4"/>
        <v>0</v>
      </c>
      <c r="F56" s="119"/>
      <c r="G56" s="119"/>
      <c r="H56" s="118">
        <f t="shared" si="5"/>
        <v>0</v>
      </c>
    </row>
    <row r="57" spans="1:12" x14ac:dyDescent="0.25">
      <c r="A57" s="121">
        <v>25</v>
      </c>
      <c r="B57" s="129" t="s">
        <v>107</v>
      </c>
      <c r="C57" s="119"/>
      <c r="D57" s="119"/>
      <c r="E57" s="118">
        <f t="shared" si="4"/>
        <v>0</v>
      </c>
      <c r="F57" s="119"/>
      <c r="G57" s="119"/>
      <c r="H57" s="118">
        <f t="shared" si="5"/>
        <v>0</v>
      </c>
    </row>
    <row r="58" spans="1:12" x14ac:dyDescent="0.25">
      <c r="A58" s="121">
        <v>26</v>
      </c>
      <c r="B58" s="123" t="s">
        <v>106</v>
      </c>
      <c r="C58" s="119"/>
      <c r="D58" s="119"/>
      <c r="E58" s="118">
        <f t="shared" si="4"/>
        <v>0</v>
      </c>
      <c r="F58" s="119"/>
      <c r="G58" s="119"/>
      <c r="H58" s="118">
        <f t="shared" si="5"/>
        <v>0</v>
      </c>
    </row>
    <row r="59" spans="1:12" ht="21" x14ac:dyDescent="0.25">
      <c r="A59" s="121">
        <v>27</v>
      </c>
      <c r="B59" s="123" t="s">
        <v>105</v>
      </c>
      <c r="C59" s="119">
        <f>SUM(C60:C61)</f>
        <v>0</v>
      </c>
      <c r="D59" s="119">
        <f>SUM(D60:D61)</f>
        <v>0</v>
      </c>
      <c r="E59" s="118">
        <f t="shared" si="4"/>
        <v>0</v>
      </c>
      <c r="F59" s="119">
        <v>0</v>
      </c>
      <c r="G59" s="119">
        <v>0</v>
      </c>
      <c r="H59" s="118">
        <f t="shared" si="5"/>
        <v>0</v>
      </c>
    </row>
    <row r="60" spans="1:12" x14ac:dyDescent="0.25">
      <c r="A60" s="121">
        <v>27.1</v>
      </c>
      <c r="B60" s="125" t="s">
        <v>104</v>
      </c>
      <c r="C60" s="119"/>
      <c r="D60" s="119"/>
      <c r="E60" s="118">
        <f t="shared" si="4"/>
        <v>0</v>
      </c>
      <c r="F60" s="119"/>
      <c r="G60" s="119"/>
      <c r="H60" s="118">
        <f t="shared" si="5"/>
        <v>0</v>
      </c>
    </row>
    <row r="61" spans="1:12" x14ac:dyDescent="0.25">
      <c r="A61" s="121">
        <v>27.2</v>
      </c>
      <c r="B61" s="128" t="s">
        <v>103</v>
      </c>
      <c r="C61" s="119"/>
      <c r="D61" s="119"/>
      <c r="E61" s="118">
        <f t="shared" si="4"/>
        <v>0</v>
      </c>
      <c r="F61" s="119"/>
      <c r="G61" s="119"/>
      <c r="H61" s="118">
        <f t="shared" si="5"/>
        <v>0</v>
      </c>
    </row>
    <row r="62" spans="1:12" x14ac:dyDescent="0.25">
      <c r="A62" s="121">
        <v>28</v>
      </c>
      <c r="B62" s="127" t="s">
        <v>102</v>
      </c>
      <c r="C62" s="119"/>
      <c r="D62" s="119"/>
      <c r="E62" s="118">
        <f t="shared" si="4"/>
        <v>0</v>
      </c>
      <c r="F62" s="119"/>
      <c r="G62" s="119"/>
      <c r="H62" s="118">
        <f t="shared" si="5"/>
        <v>0</v>
      </c>
    </row>
    <row r="63" spans="1:12" x14ac:dyDescent="0.25">
      <c r="A63" s="121">
        <v>29</v>
      </c>
      <c r="B63" s="123" t="s">
        <v>101</v>
      </c>
      <c r="C63" s="119">
        <f>SUM(C64:C66)</f>
        <v>3615196.900470661</v>
      </c>
      <c r="D63" s="119">
        <f>SUM(D64:D66)</f>
        <v>0</v>
      </c>
      <c r="E63" s="118">
        <f t="shared" si="4"/>
        <v>3615196.900470661</v>
      </c>
      <c r="F63" s="119">
        <v>4352500.4589957595</v>
      </c>
      <c r="G63" s="119">
        <v>0</v>
      </c>
      <c r="H63" s="118">
        <f t="shared" si="5"/>
        <v>4352500.4589957595</v>
      </c>
    </row>
    <row r="64" spans="1:12" x14ac:dyDescent="0.25">
      <c r="A64" s="121">
        <v>29.1</v>
      </c>
      <c r="B64" s="126" t="s">
        <v>100</v>
      </c>
      <c r="C64" s="119">
        <v>3615196.900470661</v>
      </c>
      <c r="D64" s="119"/>
      <c r="E64" s="118">
        <f t="shared" si="4"/>
        <v>3615196.900470661</v>
      </c>
      <c r="F64" s="119">
        <v>4352500.4589957595</v>
      </c>
      <c r="G64" s="119"/>
      <c r="H64" s="118">
        <f t="shared" si="5"/>
        <v>4352500.4589957595</v>
      </c>
      <c r="J64" s="27"/>
    </row>
    <row r="65" spans="1:10" ht="24.95" customHeight="1" x14ac:dyDescent="0.25">
      <c r="A65" s="121">
        <v>29.2</v>
      </c>
      <c r="B65" s="125" t="s">
        <v>99</v>
      </c>
      <c r="C65" s="119"/>
      <c r="D65" s="119"/>
      <c r="E65" s="118">
        <f t="shared" si="4"/>
        <v>0</v>
      </c>
      <c r="F65" s="119"/>
      <c r="G65" s="119"/>
      <c r="H65" s="118">
        <f t="shared" si="5"/>
        <v>0</v>
      </c>
    </row>
    <row r="66" spans="1:10" ht="22.5" customHeight="1" x14ac:dyDescent="0.25">
      <c r="A66" s="121">
        <v>29.3</v>
      </c>
      <c r="B66" s="124" t="s">
        <v>98</v>
      </c>
      <c r="C66" s="119"/>
      <c r="D66" s="119"/>
      <c r="E66" s="118">
        <f t="shared" si="4"/>
        <v>0</v>
      </c>
      <c r="F66" s="119"/>
      <c r="G66" s="119"/>
      <c r="H66" s="118">
        <f t="shared" si="5"/>
        <v>0</v>
      </c>
    </row>
    <row r="67" spans="1:10" x14ac:dyDescent="0.25">
      <c r="A67" s="121">
        <v>30</v>
      </c>
      <c r="B67" s="123" t="s">
        <v>97</v>
      </c>
      <c r="C67" s="119">
        <v>-25474736.733879618</v>
      </c>
      <c r="D67" s="119"/>
      <c r="E67" s="118">
        <f t="shared" si="4"/>
        <v>-25474736.733879618</v>
      </c>
      <c r="F67" s="119">
        <v>-12695947.58112132</v>
      </c>
      <c r="G67" s="119"/>
      <c r="H67" s="118">
        <f t="shared" si="5"/>
        <v>-12695947.58112132</v>
      </c>
      <c r="J67" s="27"/>
    </row>
    <row r="68" spans="1:10" x14ac:dyDescent="0.25">
      <c r="A68" s="121">
        <v>31</v>
      </c>
      <c r="B68" s="122" t="s">
        <v>96</v>
      </c>
      <c r="C68" s="119">
        <f>SUM(C55,C56,C57,C58,C59,C62,C63,C67)</f>
        <v>57886860.166591041</v>
      </c>
      <c r="D68" s="119">
        <f>SUM(D55,D56,D57,D58,D59,D62,D63,D67)</f>
        <v>0</v>
      </c>
      <c r="E68" s="118">
        <f t="shared" si="4"/>
        <v>57886860.166591041</v>
      </c>
      <c r="F68" s="119">
        <v>54602952.877874441</v>
      </c>
      <c r="G68" s="119">
        <v>0</v>
      </c>
      <c r="H68" s="118">
        <f t="shared" si="5"/>
        <v>54602952.877874441</v>
      </c>
      <c r="J68" s="27"/>
    </row>
    <row r="69" spans="1:10" x14ac:dyDescent="0.25">
      <c r="A69" s="121">
        <v>32</v>
      </c>
      <c r="B69" s="120" t="s">
        <v>95</v>
      </c>
      <c r="C69" s="119">
        <f>SUM(C53,C68)</f>
        <v>181465183.10916322</v>
      </c>
      <c r="D69" s="119">
        <f>SUM(D53,D68)</f>
        <v>33933449.996667907</v>
      </c>
      <c r="E69" s="118">
        <f t="shared" si="4"/>
        <v>215398633.10583115</v>
      </c>
      <c r="F69" s="119">
        <v>126422995.33921319</v>
      </c>
      <c r="G69" s="119">
        <v>14646670.566952003</v>
      </c>
      <c r="H69" s="118">
        <f t="shared" si="5"/>
        <v>141069665.90616518</v>
      </c>
      <c r="J69" s="27"/>
    </row>
    <row r="71" spans="1:10" x14ac:dyDescent="0.25">
      <c r="I71" s="27">
        <f t="shared" ref="I71" si="6">I69-I36</f>
        <v>0</v>
      </c>
    </row>
  </sheetData>
  <mergeCells count="4">
    <mergeCell ref="A4:A6"/>
    <mergeCell ref="B4:B5"/>
    <mergeCell ref="C4:E4"/>
    <mergeCell ref="F4: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D40E-9BE4-480D-B999-B92841649997}">
  <dimension ref="A1:I50"/>
  <sheetViews>
    <sheetView zoomScale="85" zoomScaleNormal="85" workbookViewId="0">
      <selection activeCell="C30" sqref="C30"/>
    </sheetView>
  </sheetViews>
  <sheetFormatPr defaultRowHeight="15" x14ac:dyDescent="0.25"/>
  <cols>
    <col min="2" max="2" width="66.5703125" customWidth="1"/>
    <col min="3" max="6" width="17.85546875" customWidth="1"/>
    <col min="7" max="7" width="19.140625" customWidth="1"/>
    <col min="8" max="8" width="17.85546875" customWidth="1"/>
    <col min="9" max="9" width="13" customWidth="1"/>
  </cols>
  <sheetData>
    <row r="1" spans="1:8" ht="15.75" x14ac:dyDescent="0.3">
      <c r="A1" s="113" t="s">
        <v>94</v>
      </c>
      <c r="B1" s="115" t="str">
        <f>Info!C2</f>
        <v>სს სილქ ბანკი</v>
      </c>
      <c r="C1" s="21"/>
      <c r="D1" s="1"/>
      <c r="E1" s="1"/>
      <c r="F1" s="1"/>
      <c r="G1" s="1"/>
    </row>
    <row r="2" spans="1:8" ht="15.75" x14ac:dyDescent="0.3">
      <c r="A2" s="113" t="s">
        <v>93</v>
      </c>
      <c r="B2" s="114">
        <f>'1. key ratios'!B2</f>
        <v>45565</v>
      </c>
      <c r="C2" s="21"/>
      <c r="D2" s="1"/>
      <c r="E2" s="1"/>
      <c r="F2" s="1"/>
      <c r="G2" s="1"/>
    </row>
    <row r="3" spans="1:8" ht="16.5" thickBot="1" x14ac:dyDescent="0.35">
      <c r="A3" s="113"/>
      <c r="B3" s="21"/>
      <c r="C3" s="21"/>
      <c r="D3" s="1"/>
      <c r="E3" s="1"/>
      <c r="F3" s="1"/>
      <c r="G3" s="1"/>
    </row>
    <row r="4" spans="1:8" ht="40.5" customHeight="1" x14ac:dyDescent="0.25">
      <c r="A4" s="793" t="s">
        <v>89</v>
      </c>
      <c r="B4" s="789" t="s">
        <v>26</v>
      </c>
      <c r="C4" s="791" t="s">
        <v>161</v>
      </c>
      <c r="D4" s="791"/>
      <c r="E4" s="791"/>
      <c r="F4" s="791" t="s">
        <v>160</v>
      </c>
      <c r="G4" s="791"/>
      <c r="H4" s="792"/>
    </row>
    <row r="5" spans="1:8" ht="15.6" customHeight="1" x14ac:dyDescent="0.25">
      <c r="A5" s="794"/>
      <c r="B5" s="790"/>
      <c r="C5" s="179" t="s">
        <v>159</v>
      </c>
      <c r="D5" s="179" t="s">
        <v>158</v>
      </c>
      <c r="E5" s="179" t="s">
        <v>157</v>
      </c>
      <c r="F5" s="179" t="s">
        <v>159</v>
      </c>
      <c r="G5" s="179" t="s">
        <v>158</v>
      </c>
      <c r="H5" s="179" t="s">
        <v>157</v>
      </c>
    </row>
    <row r="6" spans="1:8" x14ac:dyDescent="0.25">
      <c r="A6" s="155">
        <v>1</v>
      </c>
      <c r="B6" s="178" t="s">
        <v>198</v>
      </c>
      <c r="C6" s="160">
        <f>SUM(C7:C12)</f>
        <v>10740405.938016571</v>
      </c>
      <c r="D6" s="160">
        <f>SUM(D7:D12)</f>
        <v>2388158.8805378666</v>
      </c>
      <c r="E6" s="159">
        <f t="shared" ref="E6:E45" si="0">C6+D6</f>
        <v>13128564.818554439</v>
      </c>
      <c r="F6" s="160">
        <v>2466064.6015167623</v>
      </c>
      <c r="G6" s="160">
        <v>494156.33000000019</v>
      </c>
      <c r="H6" s="159">
        <f t="shared" ref="H6:H45" si="1">F6+G6</f>
        <v>2960220.9315167624</v>
      </c>
    </row>
    <row r="7" spans="1:8" x14ac:dyDescent="0.25">
      <c r="A7" s="155">
        <v>1.1000000000000001</v>
      </c>
      <c r="B7" s="177" t="s">
        <v>151</v>
      </c>
      <c r="C7" s="160"/>
      <c r="D7" s="160"/>
      <c r="E7" s="159">
        <f t="shared" si="0"/>
        <v>0</v>
      </c>
      <c r="F7" s="160"/>
      <c r="G7" s="160"/>
      <c r="H7" s="159">
        <f t="shared" si="1"/>
        <v>0</v>
      </c>
    </row>
    <row r="8" spans="1:8" ht="21" x14ac:dyDescent="0.25">
      <c r="A8" s="155">
        <v>1.2</v>
      </c>
      <c r="B8" s="177" t="s">
        <v>197</v>
      </c>
      <c r="C8" s="160"/>
      <c r="D8" s="160"/>
      <c r="E8" s="159">
        <f t="shared" si="0"/>
        <v>0</v>
      </c>
      <c r="F8" s="160"/>
      <c r="G8" s="160"/>
      <c r="H8" s="159">
        <f t="shared" si="1"/>
        <v>0</v>
      </c>
    </row>
    <row r="9" spans="1:8" ht="21.6" customHeight="1" x14ac:dyDescent="0.25">
      <c r="A9" s="155">
        <v>1.3</v>
      </c>
      <c r="B9" s="125" t="s">
        <v>196</v>
      </c>
      <c r="C9" s="160"/>
      <c r="D9" s="160"/>
      <c r="E9" s="159">
        <f t="shared" si="0"/>
        <v>0</v>
      </c>
      <c r="F9" s="160"/>
      <c r="G9" s="160"/>
      <c r="H9" s="159">
        <f t="shared" si="1"/>
        <v>0</v>
      </c>
    </row>
    <row r="10" spans="1:8" ht="21" x14ac:dyDescent="0.25">
      <c r="A10" s="155">
        <v>1.4</v>
      </c>
      <c r="B10" s="125" t="s">
        <v>148</v>
      </c>
      <c r="C10" s="160"/>
      <c r="D10" s="160"/>
      <c r="E10" s="159">
        <f t="shared" si="0"/>
        <v>0</v>
      </c>
      <c r="F10" s="160"/>
      <c r="G10" s="160"/>
      <c r="H10" s="159">
        <f t="shared" si="1"/>
        <v>0</v>
      </c>
    </row>
    <row r="11" spans="1:8" x14ac:dyDescent="0.25">
      <c r="A11" s="155">
        <v>1.5</v>
      </c>
      <c r="B11" s="125" t="s">
        <v>146</v>
      </c>
      <c r="C11" s="160">
        <v>10740405.938016571</v>
      </c>
      <c r="D11" s="160">
        <v>2388158.8805378666</v>
      </c>
      <c r="E11" s="159">
        <f t="shared" si="0"/>
        <v>13128564.818554439</v>
      </c>
      <c r="F11" s="160">
        <v>2466064.6015167623</v>
      </c>
      <c r="G11" s="160">
        <v>494156.33000000019</v>
      </c>
      <c r="H11" s="159">
        <f t="shared" si="1"/>
        <v>2960220.9315167624</v>
      </c>
    </row>
    <row r="12" spans="1:8" x14ac:dyDescent="0.25">
      <c r="A12" s="155">
        <v>1.6</v>
      </c>
      <c r="B12" s="137" t="s">
        <v>132</v>
      </c>
      <c r="C12" s="160"/>
      <c r="D12" s="160"/>
      <c r="E12" s="159">
        <f t="shared" si="0"/>
        <v>0</v>
      </c>
      <c r="F12" s="160"/>
      <c r="G12" s="160"/>
      <c r="H12" s="159">
        <f t="shared" si="1"/>
        <v>0</v>
      </c>
    </row>
    <row r="13" spans="1:8" x14ac:dyDescent="0.25">
      <c r="A13" s="155">
        <v>2</v>
      </c>
      <c r="B13" s="167" t="s">
        <v>195</v>
      </c>
      <c r="C13" s="160">
        <f>SUM(C14:C17)</f>
        <v>-7918983.3131992565</v>
      </c>
      <c r="D13" s="160">
        <f>SUM(D14:D17)</f>
        <v>-768622.45804551407</v>
      </c>
      <c r="E13" s="159">
        <f t="shared" si="0"/>
        <v>-8687605.7712447699</v>
      </c>
      <c r="F13" s="160">
        <v>-867610.87045483524</v>
      </c>
      <c r="G13" s="160">
        <v>-65598.140000000029</v>
      </c>
      <c r="H13" s="159">
        <f t="shared" si="1"/>
        <v>-933209.01045483525</v>
      </c>
    </row>
    <row r="14" spans="1:8" x14ac:dyDescent="0.25">
      <c r="A14" s="155">
        <v>2.1</v>
      </c>
      <c r="B14" s="125" t="s">
        <v>194</v>
      </c>
      <c r="C14" s="160"/>
      <c r="D14" s="160"/>
      <c r="E14" s="159">
        <f t="shared" si="0"/>
        <v>0</v>
      </c>
      <c r="F14" s="160"/>
      <c r="G14" s="160"/>
      <c r="H14" s="159">
        <f t="shared" si="1"/>
        <v>0</v>
      </c>
    </row>
    <row r="15" spans="1:8" ht="24.6" customHeight="1" x14ac:dyDescent="0.25">
      <c r="A15" s="155">
        <v>2.2000000000000002</v>
      </c>
      <c r="B15" s="125" t="s">
        <v>193</v>
      </c>
      <c r="C15" s="160"/>
      <c r="D15" s="160"/>
      <c r="E15" s="159">
        <f t="shared" si="0"/>
        <v>0</v>
      </c>
      <c r="F15" s="160"/>
      <c r="G15" s="160"/>
      <c r="H15" s="159">
        <f t="shared" si="1"/>
        <v>0</v>
      </c>
    </row>
    <row r="16" spans="1:8" ht="20.45" customHeight="1" x14ac:dyDescent="0.25">
      <c r="A16" s="155">
        <v>2.2999999999999998</v>
      </c>
      <c r="B16" s="125" t="s">
        <v>192</v>
      </c>
      <c r="C16" s="160">
        <v>-7918983.3131992565</v>
      </c>
      <c r="D16" s="160">
        <v>-768622.45804551407</v>
      </c>
      <c r="E16" s="159">
        <f t="shared" si="0"/>
        <v>-8687605.7712447699</v>
      </c>
      <c r="F16" s="160">
        <v>-867610.87045483524</v>
      </c>
      <c r="G16" s="160">
        <v>-65598.140000000029</v>
      </c>
      <c r="H16" s="159">
        <f t="shared" si="1"/>
        <v>-933209.01045483525</v>
      </c>
    </row>
    <row r="17" spans="1:9" x14ac:dyDescent="0.25">
      <c r="A17" s="155">
        <v>2.4</v>
      </c>
      <c r="B17" s="125" t="s">
        <v>191</v>
      </c>
      <c r="C17" s="160"/>
      <c r="D17" s="160"/>
      <c r="E17" s="159">
        <f t="shared" si="0"/>
        <v>0</v>
      </c>
      <c r="F17" s="160"/>
      <c r="G17" s="160"/>
      <c r="H17" s="159">
        <f t="shared" si="1"/>
        <v>0</v>
      </c>
    </row>
    <row r="18" spans="1:9" x14ac:dyDescent="0.25">
      <c r="A18" s="155">
        <v>3</v>
      </c>
      <c r="B18" s="167" t="s">
        <v>190</v>
      </c>
      <c r="C18" s="160"/>
      <c r="D18" s="160"/>
      <c r="E18" s="159">
        <f t="shared" si="0"/>
        <v>0</v>
      </c>
      <c r="F18" s="160"/>
      <c r="G18" s="160"/>
      <c r="H18" s="159">
        <f t="shared" si="1"/>
        <v>0</v>
      </c>
    </row>
    <row r="19" spans="1:9" x14ac:dyDescent="0.25">
      <c r="A19" s="155">
        <v>4</v>
      </c>
      <c r="B19" s="167" t="s">
        <v>189</v>
      </c>
      <c r="C19" s="160">
        <v>139657.68000000098</v>
      </c>
      <c r="D19" s="160">
        <v>177592.28999999995</v>
      </c>
      <c r="E19" s="159">
        <f t="shared" si="0"/>
        <v>317249.9700000009</v>
      </c>
      <c r="F19" s="160">
        <v>106531.81</v>
      </c>
      <c r="G19" s="160">
        <v>53576.71</v>
      </c>
      <c r="H19" s="159">
        <f t="shared" si="1"/>
        <v>160108.51999999999</v>
      </c>
    </row>
    <row r="20" spans="1:9" x14ac:dyDescent="0.25">
      <c r="A20" s="155">
        <v>5</v>
      </c>
      <c r="B20" s="167" t="s">
        <v>188</v>
      </c>
      <c r="C20" s="160">
        <v>-190655.87</v>
      </c>
      <c r="D20" s="160">
        <v>-129245.51000000004</v>
      </c>
      <c r="E20" s="159">
        <f t="shared" si="0"/>
        <v>-319901.38</v>
      </c>
      <c r="F20" s="160">
        <v>-37693.759999999995</v>
      </c>
      <c r="G20" s="160">
        <v>-51721.79</v>
      </c>
      <c r="H20" s="159">
        <f t="shared" si="1"/>
        <v>-89415.549999999988</v>
      </c>
    </row>
    <row r="21" spans="1:9" ht="38.450000000000003" customHeight="1" x14ac:dyDescent="0.25">
      <c r="A21" s="155">
        <v>6</v>
      </c>
      <c r="B21" s="167" t="s">
        <v>187</v>
      </c>
      <c r="C21" s="160"/>
      <c r="D21" s="160"/>
      <c r="E21" s="159">
        <f t="shared" si="0"/>
        <v>0</v>
      </c>
      <c r="F21" s="160"/>
      <c r="G21" s="160"/>
      <c r="H21" s="159">
        <f t="shared" si="1"/>
        <v>0</v>
      </c>
    </row>
    <row r="22" spans="1:9" ht="27.6" customHeight="1" x14ac:dyDescent="0.25">
      <c r="A22" s="155">
        <v>7</v>
      </c>
      <c r="B22" s="176" t="s">
        <v>186</v>
      </c>
      <c r="C22" s="160"/>
      <c r="D22" s="160"/>
      <c r="E22" s="159">
        <f t="shared" si="0"/>
        <v>0</v>
      </c>
      <c r="F22" s="160"/>
      <c r="G22" s="160"/>
      <c r="H22" s="159">
        <f t="shared" si="1"/>
        <v>0</v>
      </c>
    </row>
    <row r="23" spans="1:9" ht="36.950000000000003" customHeight="1" x14ac:dyDescent="0.25">
      <c r="A23" s="155">
        <v>8</v>
      </c>
      <c r="B23" s="175" t="s">
        <v>185</v>
      </c>
      <c r="C23" s="160"/>
      <c r="D23" s="160"/>
      <c r="E23" s="159">
        <f t="shared" si="0"/>
        <v>0</v>
      </c>
      <c r="F23" s="160"/>
      <c r="G23" s="160"/>
      <c r="H23" s="159">
        <f t="shared" si="1"/>
        <v>0</v>
      </c>
    </row>
    <row r="24" spans="1:9" ht="34.5" customHeight="1" x14ac:dyDescent="0.25">
      <c r="A24" s="155">
        <v>9</v>
      </c>
      <c r="B24" s="175" t="s">
        <v>184</v>
      </c>
      <c r="C24" s="160"/>
      <c r="D24" s="160"/>
      <c r="E24" s="159">
        <f t="shared" si="0"/>
        <v>0</v>
      </c>
      <c r="F24" s="160"/>
      <c r="G24" s="160"/>
      <c r="H24" s="159">
        <f t="shared" si="1"/>
        <v>0</v>
      </c>
    </row>
    <row r="25" spans="1:9" x14ac:dyDescent="0.25">
      <c r="A25" s="155">
        <v>10</v>
      </c>
      <c r="B25" s="167" t="s">
        <v>183</v>
      </c>
      <c r="C25" s="160">
        <v>1730735.2825025246</v>
      </c>
      <c r="D25" s="160">
        <v>0</v>
      </c>
      <c r="E25" s="159">
        <f t="shared" si="0"/>
        <v>1730735.2825025246</v>
      </c>
      <c r="F25" s="160">
        <v>188686.81865976751</v>
      </c>
      <c r="G25" s="160">
        <v>0</v>
      </c>
      <c r="H25" s="159">
        <f t="shared" si="1"/>
        <v>188686.81865976751</v>
      </c>
    </row>
    <row r="26" spans="1:9" ht="27" customHeight="1" x14ac:dyDescent="0.25">
      <c r="A26" s="155">
        <v>11</v>
      </c>
      <c r="B26" s="174" t="s">
        <v>182</v>
      </c>
      <c r="C26" s="160">
        <v>-14866.202352134424</v>
      </c>
      <c r="D26" s="160">
        <v>0</v>
      </c>
      <c r="E26" s="159">
        <f t="shared" si="0"/>
        <v>-14866.202352134424</v>
      </c>
      <c r="F26" s="160">
        <v>-23368.640438376908</v>
      </c>
      <c r="G26" s="160">
        <v>0</v>
      </c>
      <c r="H26" s="159">
        <f t="shared" si="1"/>
        <v>-23368.640438376908</v>
      </c>
    </row>
    <row r="27" spans="1:9" x14ac:dyDescent="0.25">
      <c r="A27" s="155">
        <v>12</v>
      </c>
      <c r="B27" s="167" t="s">
        <v>181</v>
      </c>
      <c r="C27" s="160">
        <v>110819.65333301248</v>
      </c>
      <c r="D27" s="160">
        <v>28174.48</v>
      </c>
      <c r="E27" s="159">
        <f t="shared" si="0"/>
        <v>138994.13333301249</v>
      </c>
      <c r="F27" s="173">
        <v>31689.316479998455</v>
      </c>
      <c r="G27" s="169">
        <v>0</v>
      </c>
      <c r="H27" s="159">
        <f t="shared" si="1"/>
        <v>31689.316479998455</v>
      </c>
    </row>
    <row r="28" spans="1:9" x14ac:dyDescent="0.25">
      <c r="A28" s="155">
        <v>13</v>
      </c>
      <c r="B28" s="172" t="s">
        <v>180</v>
      </c>
      <c r="C28" s="160">
        <v>-33966.805061999992</v>
      </c>
      <c r="D28" s="160">
        <v>0</v>
      </c>
      <c r="E28" s="159">
        <f t="shared" si="0"/>
        <v>-33966.805061999992</v>
      </c>
      <c r="F28" s="169">
        <v>-4518.1964799999996</v>
      </c>
      <c r="G28" s="169">
        <v>0</v>
      </c>
      <c r="H28" s="159">
        <f t="shared" si="1"/>
        <v>-4518.1964799999996</v>
      </c>
    </row>
    <row r="29" spans="1:9" x14ac:dyDescent="0.25">
      <c r="A29" s="155">
        <v>14</v>
      </c>
      <c r="B29" s="171" t="s">
        <v>179</v>
      </c>
      <c r="C29" s="160">
        <f>SUM(C30:C31)</f>
        <v>-12350142.343363829</v>
      </c>
      <c r="D29" s="160">
        <f>SUM(D30:D31)</f>
        <v>-1278704.1399999987</v>
      </c>
      <c r="E29" s="159">
        <f t="shared" si="0"/>
        <v>-13628846.483363828</v>
      </c>
      <c r="F29" s="169">
        <v>-3969729.4699999997</v>
      </c>
      <c r="G29" s="169">
        <v>-432134.44999999995</v>
      </c>
      <c r="H29" s="168">
        <f t="shared" si="1"/>
        <v>-4401863.92</v>
      </c>
    </row>
    <row r="30" spans="1:9" x14ac:dyDescent="0.25">
      <c r="A30" s="155">
        <v>14.1</v>
      </c>
      <c r="B30" s="124" t="s">
        <v>178</v>
      </c>
      <c r="C30" s="160">
        <v>-7873194.9100000011</v>
      </c>
      <c r="D30" s="160">
        <v>0</v>
      </c>
      <c r="E30" s="159">
        <f t="shared" si="0"/>
        <v>-7873194.9100000011</v>
      </c>
      <c r="F30" s="169">
        <v>-2766258.23</v>
      </c>
      <c r="G30" s="169">
        <v>0</v>
      </c>
      <c r="H30" s="168">
        <f t="shared" si="1"/>
        <v>-2766258.23</v>
      </c>
    </row>
    <row r="31" spans="1:9" x14ac:dyDescent="0.25">
      <c r="A31" s="155">
        <v>14.2</v>
      </c>
      <c r="B31" s="124" t="s">
        <v>177</v>
      </c>
      <c r="C31" s="160">
        <v>-4476947.4333638288</v>
      </c>
      <c r="D31" s="160">
        <v>-1278704.1399999987</v>
      </c>
      <c r="E31" s="159">
        <f t="shared" si="0"/>
        <v>-5755651.5733638275</v>
      </c>
      <c r="F31" s="169">
        <v>-1203471.24</v>
      </c>
      <c r="G31" s="169">
        <v>-432134.44999999995</v>
      </c>
      <c r="H31" s="168">
        <f t="shared" si="1"/>
        <v>-1635605.69</v>
      </c>
      <c r="I31" s="139"/>
    </row>
    <row r="32" spans="1:9" x14ac:dyDescent="0.25">
      <c r="A32" s="155">
        <v>15</v>
      </c>
      <c r="B32" s="170" t="s">
        <v>176</v>
      </c>
      <c r="C32" s="160">
        <v>-906915.43015994364</v>
      </c>
      <c r="D32" s="160">
        <v>0</v>
      </c>
      <c r="E32" s="159">
        <f t="shared" si="0"/>
        <v>-906915.43015994364</v>
      </c>
      <c r="F32" s="169">
        <v>-429960.33999999997</v>
      </c>
      <c r="G32" s="169">
        <v>0</v>
      </c>
      <c r="H32" s="168">
        <f t="shared" si="1"/>
        <v>-429960.33999999997</v>
      </c>
    </row>
    <row r="33" spans="1:8" ht="22.5" customHeight="1" x14ac:dyDescent="0.25">
      <c r="A33" s="155">
        <v>16</v>
      </c>
      <c r="B33" s="123" t="s">
        <v>175</v>
      </c>
      <c r="C33" s="160"/>
      <c r="D33" s="160"/>
      <c r="E33" s="159">
        <f t="shared" si="0"/>
        <v>0</v>
      </c>
      <c r="F33" s="160"/>
      <c r="G33" s="160"/>
      <c r="H33" s="159">
        <f t="shared" si="1"/>
        <v>0</v>
      </c>
    </row>
    <row r="34" spans="1:8" x14ac:dyDescent="0.25">
      <c r="A34" s="155">
        <v>17</v>
      </c>
      <c r="B34" s="167" t="s">
        <v>174</v>
      </c>
      <c r="C34" s="160">
        <f>SUM(C35:C36)</f>
        <v>-3737.4527024617646</v>
      </c>
      <c r="D34" s="160">
        <f>SUM(D35:D36)</f>
        <v>-28166.677182461353</v>
      </c>
      <c r="E34" s="159">
        <f t="shared" si="0"/>
        <v>-31904.129884923117</v>
      </c>
      <c r="F34" s="160">
        <v>-3703.5671997316686</v>
      </c>
      <c r="G34" s="160">
        <v>-36761.800951675614</v>
      </c>
      <c r="H34" s="159">
        <f t="shared" si="1"/>
        <v>-40465.368151407281</v>
      </c>
    </row>
    <row r="35" spans="1:8" x14ac:dyDescent="0.25">
      <c r="A35" s="155">
        <v>17.100000000000001</v>
      </c>
      <c r="B35" s="166" t="s">
        <v>173</v>
      </c>
      <c r="C35" s="160">
        <v>-3737.4527024617646</v>
      </c>
      <c r="D35" s="160">
        <v>-28166.677182461353</v>
      </c>
      <c r="E35" s="159">
        <f t="shared" si="0"/>
        <v>-31904.129884923117</v>
      </c>
      <c r="F35" s="160">
        <v>-3703.5671997316686</v>
      </c>
      <c r="G35" s="160">
        <v>-36761.800951675614</v>
      </c>
      <c r="H35" s="159">
        <f t="shared" si="1"/>
        <v>-40465.368151407281</v>
      </c>
    </row>
    <row r="36" spans="1:8" x14ac:dyDescent="0.25">
      <c r="A36" s="155">
        <v>17.2</v>
      </c>
      <c r="B36" s="124" t="s">
        <v>172</v>
      </c>
      <c r="C36" s="160"/>
      <c r="D36" s="160"/>
      <c r="E36" s="159">
        <f t="shared" si="0"/>
        <v>0</v>
      </c>
      <c r="F36" s="160"/>
      <c r="G36" s="160"/>
      <c r="H36" s="159">
        <f t="shared" si="1"/>
        <v>0</v>
      </c>
    </row>
    <row r="37" spans="1:8" ht="41.45" customHeight="1" x14ac:dyDescent="0.25">
      <c r="A37" s="155">
        <v>18</v>
      </c>
      <c r="B37" s="163" t="s">
        <v>171</v>
      </c>
      <c r="C37" s="160">
        <f>SUM(C38:C39)</f>
        <v>-393939.11845231208</v>
      </c>
      <c r="D37" s="160">
        <f>SUM(D38:D39)</f>
        <v>-149366.8747942154</v>
      </c>
      <c r="E37" s="159">
        <f t="shared" si="0"/>
        <v>-543305.99324652751</v>
      </c>
      <c r="F37" s="164">
        <v>-52770.815927236581</v>
      </c>
      <c r="G37" s="164">
        <v>90470.018609403778</v>
      </c>
      <c r="H37" s="159">
        <f t="shared" si="1"/>
        <v>37699.202682167197</v>
      </c>
    </row>
    <row r="38" spans="1:8" ht="21" x14ac:dyDescent="0.25">
      <c r="A38" s="155">
        <v>18.100000000000001</v>
      </c>
      <c r="B38" s="125" t="s">
        <v>170</v>
      </c>
      <c r="C38" s="160"/>
      <c r="D38" s="160"/>
      <c r="E38" s="159">
        <f t="shared" si="0"/>
        <v>0</v>
      </c>
      <c r="F38" s="164"/>
      <c r="G38" s="164"/>
      <c r="H38" s="159">
        <f t="shared" si="1"/>
        <v>0</v>
      </c>
    </row>
    <row r="39" spans="1:8" x14ac:dyDescent="0.25">
      <c r="A39" s="155">
        <v>18.2</v>
      </c>
      <c r="B39" s="125" t="s">
        <v>169</v>
      </c>
      <c r="C39" s="160">
        <v>-393939.11845231208</v>
      </c>
      <c r="D39" s="160">
        <v>-149366.8747942154</v>
      </c>
      <c r="E39" s="159">
        <f t="shared" si="0"/>
        <v>-543305.99324652751</v>
      </c>
      <c r="F39" s="165">
        <v>-52770.815927236581</v>
      </c>
      <c r="G39" s="164">
        <v>90470.018609403778</v>
      </c>
      <c r="H39" s="159">
        <f t="shared" si="1"/>
        <v>37699.202682167197</v>
      </c>
    </row>
    <row r="40" spans="1:8" ht="24.6" customHeight="1" x14ac:dyDescent="0.25">
      <c r="A40" s="155">
        <v>19</v>
      </c>
      <c r="B40" s="163" t="s">
        <v>168</v>
      </c>
      <c r="C40" s="160"/>
      <c r="D40" s="160"/>
      <c r="E40" s="159">
        <f t="shared" si="0"/>
        <v>0</v>
      </c>
      <c r="F40" s="160"/>
      <c r="G40" s="160"/>
      <c r="H40" s="159">
        <f t="shared" si="1"/>
        <v>0</v>
      </c>
    </row>
    <row r="41" spans="1:8" ht="24.95" customHeight="1" x14ac:dyDescent="0.25">
      <c r="A41" s="155">
        <v>20</v>
      </c>
      <c r="B41" s="163" t="s">
        <v>167</v>
      </c>
      <c r="C41" s="160">
        <v>0</v>
      </c>
      <c r="D41" s="160">
        <v>0</v>
      </c>
      <c r="E41" s="159">
        <f t="shared" si="0"/>
        <v>0</v>
      </c>
      <c r="F41" s="160">
        <v>159729.28678434109</v>
      </c>
      <c r="G41" s="160">
        <v>0</v>
      </c>
      <c r="H41" s="159">
        <f t="shared" si="1"/>
        <v>159729.28678434109</v>
      </c>
    </row>
    <row r="42" spans="1:8" ht="33" customHeight="1" x14ac:dyDescent="0.25">
      <c r="A42" s="155">
        <v>21</v>
      </c>
      <c r="B42" s="162" t="s">
        <v>166</v>
      </c>
      <c r="C42" s="160"/>
      <c r="D42" s="160"/>
      <c r="E42" s="159">
        <f t="shared" si="0"/>
        <v>0</v>
      </c>
      <c r="F42" s="160"/>
      <c r="G42" s="160"/>
      <c r="H42" s="159">
        <f t="shared" si="1"/>
        <v>0</v>
      </c>
    </row>
    <row r="43" spans="1:8" x14ac:dyDescent="0.25">
      <c r="A43" s="155">
        <v>22</v>
      </c>
      <c r="B43" s="161" t="s">
        <v>165</v>
      </c>
      <c r="C43" s="160">
        <f>SUM(C6,C13,C18,C19,C20,C21,C22,C23,C24,C25,C26,C27,C28,C29,C32,C33,C34,C37,C40,C41,C42)</f>
        <v>-9091587.9814398289</v>
      </c>
      <c r="D43" s="160">
        <f>SUM(D6,D13,D18,D19,D20,D21,D22,D23,D24,D25,D26,D27,D28,D29,D32,D33,D34,D37,D40,D41,D42)</f>
        <v>239819.99051567705</v>
      </c>
      <c r="E43" s="159">
        <f t="shared" si="0"/>
        <v>-8851767.9909241516</v>
      </c>
      <c r="F43" s="160">
        <v>-2436653.8270593109</v>
      </c>
      <c r="G43" s="160">
        <v>51986.87765772843</v>
      </c>
      <c r="H43" s="159">
        <f t="shared" si="1"/>
        <v>-2384666.9494015826</v>
      </c>
    </row>
    <row r="44" spans="1:8" x14ac:dyDescent="0.25">
      <c r="A44" s="155">
        <v>23</v>
      </c>
      <c r="B44" s="161" t="s">
        <v>164</v>
      </c>
      <c r="C44" s="160">
        <v>-431309.7493810755</v>
      </c>
      <c r="D44" s="160"/>
      <c r="E44" s="159">
        <f t="shared" si="0"/>
        <v>-431309.7493810755</v>
      </c>
      <c r="F44" s="160"/>
      <c r="G44" s="160"/>
      <c r="H44" s="159">
        <f t="shared" si="1"/>
        <v>0</v>
      </c>
    </row>
    <row r="45" spans="1:8" x14ac:dyDescent="0.25">
      <c r="A45" s="155">
        <v>24</v>
      </c>
      <c r="B45" s="161" t="s">
        <v>163</v>
      </c>
      <c r="C45" s="160">
        <f>C43-C44</f>
        <v>-8660278.2320587542</v>
      </c>
      <c r="D45" s="160">
        <f>D43-D44</f>
        <v>239819.99051567705</v>
      </c>
      <c r="E45" s="159">
        <f t="shared" si="0"/>
        <v>-8420458.2415430769</v>
      </c>
      <c r="F45" s="160">
        <v>-2436653.8270593109</v>
      </c>
      <c r="G45" s="160">
        <v>51986.87765772843</v>
      </c>
      <c r="H45" s="159">
        <f t="shared" si="1"/>
        <v>-2384666.9494015826</v>
      </c>
    </row>
    <row r="48" spans="1:8" x14ac:dyDescent="0.25">
      <c r="H48" s="139"/>
    </row>
    <row r="50" spans="3:8" x14ac:dyDescent="0.25">
      <c r="C50" s="135"/>
      <c r="D50" s="135"/>
      <c r="E50" s="135"/>
      <c r="F50" s="135"/>
      <c r="G50" s="135"/>
      <c r="H50" s="135"/>
    </row>
  </sheetData>
  <mergeCells count="4">
    <mergeCell ref="B4:B5"/>
    <mergeCell ref="C4:E4"/>
    <mergeCell ref="F4:H4"/>
    <mergeCell ref="A4:A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2B8B-2F4E-49D9-BC68-BB0623071AD0}">
  <dimension ref="A1:J51"/>
  <sheetViews>
    <sheetView topLeftCell="A40" zoomScale="85" zoomScaleNormal="85" workbookViewId="0">
      <selection activeCell="I18" sqref="I18"/>
    </sheetView>
  </sheetViews>
  <sheetFormatPr defaultRowHeight="15" x14ac:dyDescent="0.25"/>
  <cols>
    <col min="1" max="1" width="8.85546875" style="117"/>
    <col min="2" max="2" width="87.5703125" bestFit="1" customWidth="1"/>
    <col min="3" max="3" width="16.42578125" customWidth="1"/>
    <col min="4" max="4" width="16.28515625" customWidth="1"/>
    <col min="5" max="5" width="12.7109375" customWidth="1"/>
    <col min="6" max="7" width="14.28515625" customWidth="1"/>
    <col min="8" max="8" width="12.7109375" customWidth="1"/>
  </cols>
  <sheetData>
    <row r="1" spans="1:8" ht="15.75" x14ac:dyDescent="0.3">
      <c r="A1" s="113" t="s">
        <v>94</v>
      </c>
      <c r="B1" s="115" t="str">
        <f>Info!C2</f>
        <v>სს სილქ ბანკი</v>
      </c>
      <c r="C1" s="21"/>
      <c r="D1" s="1"/>
      <c r="E1" s="1"/>
      <c r="F1" s="1"/>
      <c r="G1" s="1"/>
    </row>
    <row r="2" spans="1:8" ht="15.75" x14ac:dyDescent="0.3">
      <c r="A2" s="113" t="s">
        <v>93</v>
      </c>
      <c r="B2" s="114">
        <f>'1. key ratios'!B2</f>
        <v>45565</v>
      </c>
      <c r="C2" s="21"/>
      <c r="D2" s="1"/>
      <c r="E2" s="1"/>
      <c r="F2" s="1"/>
      <c r="G2" s="1"/>
    </row>
    <row r="3" spans="1:8" ht="16.5" thickBot="1" x14ac:dyDescent="0.35">
      <c r="A3" s="113"/>
      <c r="B3" s="21"/>
      <c r="C3" s="21"/>
      <c r="D3" s="1"/>
      <c r="E3" s="1"/>
      <c r="F3" s="1"/>
      <c r="G3" s="1"/>
    </row>
    <row r="4" spans="1:8" ht="15.75" x14ac:dyDescent="0.3">
      <c r="A4" s="784" t="s">
        <v>89</v>
      </c>
      <c r="B4" s="795" t="s">
        <v>241</v>
      </c>
      <c r="C4" s="796" t="s">
        <v>161</v>
      </c>
      <c r="D4" s="796"/>
      <c r="E4" s="796"/>
      <c r="F4" s="796" t="s">
        <v>160</v>
      </c>
      <c r="G4" s="796"/>
      <c r="H4" s="797"/>
    </row>
    <row r="5" spans="1:8" x14ac:dyDescent="0.25">
      <c r="A5" s="784"/>
      <c r="B5" s="795"/>
      <c r="C5" s="179" t="s">
        <v>159</v>
      </c>
      <c r="D5" s="179" t="s">
        <v>158</v>
      </c>
      <c r="E5" s="179" t="s">
        <v>157</v>
      </c>
      <c r="F5" s="179" t="s">
        <v>159</v>
      </c>
      <c r="G5" s="179" t="s">
        <v>158</v>
      </c>
      <c r="H5" s="192" t="s">
        <v>157</v>
      </c>
    </row>
    <row r="6" spans="1:8" ht="15.75" x14ac:dyDescent="0.3">
      <c r="A6" s="121">
        <v>1</v>
      </c>
      <c r="B6" s="187" t="s">
        <v>240</v>
      </c>
      <c r="C6" s="182">
        <v>0</v>
      </c>
      <c r="D6" s="182">
        <v>0</v>
      </c>
      <c r="E6" s="183">
        <f t="shared" ref="E6:E43" si="0">C6+D6</f>
        <v>0</v>
      </c>
      <c r="F6" s="182">
        <v>0</v>
      </c>
      <c r="G6" s="182">
        <v>0</v>
      </c>
      <c r="H6" s="181">
        <f t="shared" ref="H6:H43" si="1">F6+G6</f>
        <v>0</v>
      </c>
    </row>
    <row r="7" spans="1:8" ht="27" x14ac:dyDescent="0.3">
      <c r="A7" s="121">
        <v>2</v>
      </c>
      <c r="B7" s="187" t="s">
        <v>239</v>
      </c>
      <c r="C7" s="182">
        <v>0</v>
      </c>
      <c r="D7" s="182">
        <v>0</v>
      </c>
      <c r="E7" s="183">
        <f t="shared" si="0"/>
        <v>0</v>
      </c>
      <c r="F7" s="182">
        <v>0</v>
      </c>
      <c r="G7" s="182">
        <v>0</v>
      </c>
      <c r="H7" s="181">
        <f t="shared" si="1"/>
        <v>0</v>
      </c>
    </row>
    <row r="8" spans="1:8" ht="15.75" x14ac:dyDescent="0.3">
      <c r="A8" s="121">
        <v>3</v>
      </c>
      <c r="B8" s="187" t="s">
        <v>238</v>
      </c>
      <c r="C8" s="182">
        <f>C9+C10</f>
        <v>404000</v>
      </c>
      <c r="D8" s="182">
        <f>D9+D10</f>
        <v>1394057790</v>
      </c>
      <c r="E8" s="183">
        <f t="shared" si="0"/>
        <v>1394461790</v>
      </c>
      <c r="F8" s="182">
        <f>F9+F10</f>
        <v>245000</v>
      </c>
      <c r="G8" s="182">
        <f>G9+G10</f>
        <v>227119840</v>
      </c>
      <c r="H8" s="181">
        <f t="shared" si="1"/>
        <v>227364840</v>
      </c>
    </row>
    <row r="9" spans="1:8" ht="15.75" x14ac:dyDescent="0.3">
      <c r="A9" s="121">
        <v>3.1</v>
      </c>
      <c r="B9" s="185" t="s">
        <v>237</v>
      </c>
      <c r="C9" s="182">
        <v>404000</v>
      </c>
      <c r="D9" s="182">
        <v>1394057790</v>
      </c>
      <c r="E9" s="183">
        <f t="shared" si="0"/>
        <v>1394461790</v>
      </c>
      <c r="F9" s="182">
        <v>245000</v>
      </c>
      <c r="G9" s="182">
        <v>227119840</v>
      </c>
      <c r="H9" s="181">
        <f t="shared" si="1"/>
        <v>227364840</v>
      </c>
    </row>
    <row r="10" spans="1:8" ht="15.75" x14ac:dyDescent="0.3">
      <c r="A10" s="121">
        <v>3.2</v>
      </c>
      <c r="B10" s="185" t="s">
        <v>236</v>
      </c>
      <c r="C10" s="182">
        <v>0</v>
      </c>
      <c r="D10" s="182">
        <v>0</v>
      </c>
      <c r="E10" s="183">
        <f t="shared" si="0"/>
        <v>0</v>
      </c>
      <c r="F10" s="182">
        <v>0</v>
      </c>
      <c r="G10" s="182">
        <v>0</v>
      </c>
      <c r="H10" s="181">
        <f t="shared" si="1"/>
        <v>0</v>
      </c>
    </row>
    <row r="11" spans="1:8" ht="27" x14ac:dyDescent="0.3">
      <c r="A11" s="121">
        <v>4</v>
      </c>
      <c r="B11" s="187" t="s">
        <v>235</v>
      </c>
      <c r="C11" s="182">
        <f>C12+C13</f>
        <v>0</v>
      </c>
      <c r="D11" s="182">
        <f>D12+D13</f>
        <v>0</v>
      </c>
      <c r="E11" s="183">
        <f t="shared" si="0"/>
        <v>0</v>
      </c>
      <c r="F11" s="182">
        <f>F12+F13</f>
        <v>0</v>
      </c>
      <c r="G11" s="182">
        <f>G12+G13</f>
        <v>0</v>
      </c>
      <c r="H11" s="181">
        <f t="shared" si="1"/>
        <v>0</v>
      </c>
    </row>
    <row r="12" spans="1:8" ht="15.75" x14ac:dyDescent="0.3">
      <c r="A12" s="121">
        <v>4.0999999999999996</v>
      </c>
      <c r="B12" s="185" t="s">
        <v>234</v>
      </c>
      <c r="C12" s="182">
        <v>0</v>
      </c>
      <c r="D12" s="182">
        <v>0</v>
      </c>
      <c r="E12" s="183">
        <f t="shared" si="0"/>
        <v>0</v>
      </c>
      <c r="F12" s="182">
        <v>0</v>
      </c>
      <c r="G12" s="182">
        <v>0</v>
      </c>
      <c r="H12" s="181">
        <f t="shared" si="1"/>
        <v>0</v>
      </c>
    </row>
    <row r="13" spans="1:8" ht="15.75" x14ac:dyDescent="0.3">
      <c r="A13" s="121">
        <v>4.2</v>
      </c>
      <c r="B13" s="185" t="s">
        <v>233</v>
      </c>
      <c r="C13" s="182">
        <v>0</v>
      </c>
      <c r="D13" s="182">
        <v>0</v>
      </c>
      <c r="E13" s="183">
        <f t="shared" si="0"/>
        <v>0</v>
      </c>
      <c r="F13" s="182">
        <v>0</v>
      </c>
      <c r="G13" s="182">
        <v>0</v>
      </c>
      <c r="H13" s="181">
        <f t="shared" si="1"/>
        <v>0</v>
      </c>
    </row>
    <row r="14" spans="1:8" ht="15.75" x14ac:dyDescent="0.3">
      <c r="A14" s="121">
        <v>5</v>
      </c>
      <c r="B14" s="186" t="s">
        <v>232</v>
      </c>
      <c r="C14" s="182">
        <f>C15+C16+C17+C23+C24+C25+C26</f>
        <v>812533.13</v>
      </c>
      <c r="D14" s="182">
        <f>D15+D16+D17+D23+D24+D25+D26</f>
        <v>170779702.59</v>
      </c>
      <c r="E14" s="183">
        <f t="shared" si="0"/>
        <v>171592235.72</v>
      </c>
      <c r="F14" s="182">
        <f>F15+F16+F17+F23+F24+F25+F26</f>
        <v>867000</v>
      </c>
      <c r="G14" s="182">
        <f>G15+G16+G17+G23+G24+G25+G26</f>
        <v>53025270.909999996</v>
      </c>
      <c r="H14" s="181">
        <f t="shared" si="1"/>
        <v>53892270.909999996</v>
      </c>
    </row>
    <row r="15" spans="1:8" ht="15.75" x14ac:dyDescent="0.3">
      <c r="A15" s="121">
        <v>5.0999999999999996</v>
      </c>
      <c r="B15" s="188" t="s">
        <v>231</v>
      </c>
      <c r="C15" s="182">
        <v>812533.13</v>
      </c>
      <c r="D15" s="182">
        <v>3164792.08</v>
      </c>
      <c r="E15" s="183">
        <f t="shared" si="0"/>
        <v>3977325.21</v>
      </c>
      <c r="F15" s="182">
        <v>852000</v>
      </c>
      <c r="G15" s="182">
        <v>2870223.57</v>
      </c>
      <c r="H15" s="181">
        <f t="shared" si="1"/>
        <v>3722223.57</v>
      </c>
    </row>
    <row r="16" spans="1:8" ht="15.75" x14ac:dyDescent="0.3">
      <c r="A16" s="121">
        <v>5.2</v>
      </c>
      <c r="B16" s="188" t="s">
        <v>230</v>
      </c>
      <c r="C16" s="182">
        <v>0</v>
      </c>
      <c r="D16" s="182">
        <v>0</v>
      </c>
      <c r="E16" s="183">
        <f t="shared" si="0"/>
        <v>0</v>
      </c>
      <c r="F16" s="182">
        <v>0</v>
      </c>
      <c r="G16" s="182">
        <v>0</v>
      </c>
      <c r="H16" s="181">
        <f t="shared" si="1"/>
        <v>0</v>
      </c>
    </row>
    <row r="17" spans="1:10" ht="15.75" x14ac:dyDescent="0.3">
      <c r="A17" s="121">
        <v>5.3</v>
      </c>
      <c r="B17" s="188" t="s">
        <v>229</v>
      </c>
      <c r="C17" s="182">
        <f>C18+C19+C20+C21+C22</f>
        <v>0</v>
      </c>
      <c r="D17" s="182">
        <f>D18+D19+D20+D21+D22</f>
        <v>151867134.72</v>
      </c>
      <c r="E17" s="183">
        <f t="shared" si="0"/>
        <v>151867134.72</v>
      </c>
      <c r="F17" s="182">
        <f>F18+F19+F20+F21+F22</f>
        <v>0</v>
      </c>
      <c r="G17" s="182">
        <f>G18+G19+G20+G21+G22</f>
        <v>45372808.769999996</v>
      </c>
      <c r="H17" s="181">
        <f t="shared" si="1"/>
        <v>45372808.769999996</v>
      </c>
    </row>
    <row r="18" spans="1:10" ht="15.75" x14ac:dyDescent="0.3">
      <c r="A18" s="121" t="s">
        <v>228</v>
      </c>
      <c r="B18" s="191" t="s">
        <v>227</v>
      </c>
      <c r="C18" s="182">
        <v>0</v>
      </c>
      <c r="D18" s="182">
        <v>44597653.539999999</v>
      </c>
      <c r="E18" s="183">
        <f t="shared" si="0"/>
        <v>44597653.539999999</v>
      </c>
      <c r="F18" s="182">
        <v>0</v>
      </c>
      <c r="G18" s="182">
        <v>10930142.300000001</v>
      </c>
      <c r="H18" s="181">
        <f t="shared" si="1"/>
        <v>10930142.300000001</v>
      </c>
    </row>
    <row r="19" spans="1:10" ht="15.75" x14ac:dyDescent="0.3">
      <c r="A19" s="121" t="s">
        <v>226</v>
      </c>
      <c r="B19" s="190" t="s">
        <v>225</v>
      </c>
      <c r="C19" s="182">
        <v>0</v>
      </c>
      <c r="D19" s="182">
        <v>28598793.93</v>
      </c>
      <c r="E19" s="183">
        <f t="shared" si="0"/>
        <v>28598793.93</v>
      </c>
      <c r="F19" s="182">
        <v>0</v>
      </c>
      <c r="G19" s="182">
        <v>10844168.869999999</v>
      </c>
      <c r="H19" s="181">
        <f t="shared" si="1"/>
        <v>10844168.869999999</v>
      </c>
    </row>
    <row r="20" spans="1:10" ht="15.75" x14ac:dyDescent="0.3">
      <c r="A20" s="121" t="s">
        <v>224</v>
      </c>
      <c r="B20" s="190" t="s">
        <v>223</v>
      </c>
      <c r="C20" s="182">
        <v>0</v>
      </c>
      <c r="D20" s="182">
        <v>1861655.4</v>
      </c>
      <c r="E20" s="183">
        <f t="shared" si="0"/>
        <v>1861655.4</v>
      </c>
      <c r="F20" s="182">
        <v>0</v>
      </c>
      <c r="G20" s="182">
        <v>278543.2</v>
      </c>
      <c r="H20" s="181">
        <f t="shared" si="1"/>
        <v>278543.2</v>
      </c>
    </row>
    <row r="21" spans="1:10" ht="15.75" x14ac:dyDescent="0.3">
      <c r="A21" s="121" t="s">
        <v>222</v>
      </c>
      <c r="B21" s="190" t="s">
        <v>221</v>
      </c>
      <c r="C21" s="182">
        <v>0</v>
      </c>
      <c r="D21" s="182">
        <v>76809031.849999994</v>
      </c>
      <c r="E21" s="183">
        <f t="shared" si="0"/>
        <v>76809031.849999994</v>
      </c>
      <c r="F21" s="182">
        <v>0</v>
      </c>
      <c r="G21" s="182">
        <v>23319954.399999999</v>
      </c>
      <c r="H21" s="181">
        <f t="shared" si="1"/>
        <v>23319954.399999999</v>
      </c>
    </row>
    <row r="22" spans="1:10" ht="15.75" x14ac:dyDescent="0.3">
      <c r="A22" s="121" t="s">
        <v>220</v>
      </c>
      <c r="B22" s="189" t="s">
        <v>216</v>
      </c>
      <c r="C22" s="182">
        <v>0</v>
      </c>
      <c r="D22" s="182">
        <v>0</v>
      </c>
      <c r="E22" s="183">
        <f t="shared" si="0"/>
        <v>0</v>
      </c>
      <c r="F22" s="182">
        <v>0</v>
      </c>
      <c r="G22" s="182">
        <v>0</v>
      </c>
      <c r="H22" s="181">
        <f t="shared" si="1"/>
        <v>0</v>
      </c>
    </row>
    <row r="23" spans="1:10" ht="15.75" x14ac:dyDescent="0.3">
      <c r="A23" s="121">
        <v>5.4</v>
      </c>
      <c r="B23" s="188" t="s">
        <v>219</v>
      </c>
      <c r="C23" s="182">
        <v>0</v>
      </c>
      <c r="D23" s="182">
        <v>15747775.789999999</v>
      </c>
      <c r="E23" s="183">
        <f t="shared" si="0"/>
        <v>15747775.789999999</v>
      </c>
      <c r="F23" s="182">
        <v>15000</v>
      </c>
      <c r="G23" s="182">
        <v>4782238.57</v>
      </c>
      <c r="H23" s="181">
        <f t="shared" si="1"/>
        <v>4797238.57</v>
      </c>
    </row>
    <row r="24" spans="1:10" ht="15.75" x14ac:dyDescent="0.3">
      <c r="A24" s="121">
        <v>5.5</v>
      </c>
      <c r="B24" s="188" t="s">
        <v>218</v>
      </c>
      <c r="C24" s="182">
        <v>0</v>
      </c>
      <c r="D24" s="182">
        <v>0</v>
      </c>
      <c r="E24" s="183">
        <f t="shared" si="0"/>
        <v>0</v>
      </c>
      <c r="F24" s="182">
        <v>0</v>
      </c>
      <c r="G24" s="182">
        <v>0</v>
      </c>
      <c r="H24" s="181">
        <f t="shared" si="1"/>
        <v>0</v>
      </c>
    </row>
    <row r="25" spans="1:10" ht="15.75" x14ac:dyDescent="0.3">
      <c r="A25" s="121">
        <v>5.6</v>
      </c>
      <c r="B25" s="188" t="s">
        <v>217</v>
      </c>
      <c r="C25" s="182">
        <v>0</v>
      </c>
      <c r="D25" s="182">
        <v>0</v>
      </c>
      <c r="E25" s="183">
        <f t="shared" si="0"/>
        <v>0</v>
      </c>
      <c r="F25" s="182">
        <v>0</v>
      </c>
      <c r="G25" s="182">
        <v>0</v>
      </c>
      <c r="H25" s="181">
        <f t="shared" si="1"/>
        <v>0</v>
      </c>
    </row>
    <row r="26" spans="1:10" ht="15.75" x14ac:dyDescent="0.3">
      <c r="A26" s="121">
        <v>5.7</v>
      </c>
      <c r="B26" s="188" t="s">
        <v>216</v>
      </c>
      <c r="C26" s="182">
        <v>0</v>
      </c>
      <c r="D26" s="182">
        <v>0</v>
      </c>
      <c r="E26" s="183">
        <f t="shared" si="0"/>
        <v>0</v>
      </c>
      <c r="F26" s="182">
        <v>0</v>
      </c>
      <c r="G26" s="182">
        <v>0</v>
      </c>
      <c r="H26" s="181">
        <f t="shared" si="1"/>
        <v>0</v>
      </c>
    </row>
    <row r="27" spans="1:10" ht="15.75" x14ac:dyDescent="0.3">
      <c r="A27" s="121">
        <v>6</v>
      </c>
      <c r="B27" s="186" t="s">
        <v>215</v>
      </c>
      <c r="C27" s="182">
        <v>1864291.54</v>
      </c>
      <c r="D27" s="182">
        <v>2134428.4</v>
      </c>
      <c r="E27" s="183">
        <f t="shared" si="0"/>
        <v>3998719.94</v>
      </c>
      <c r="F27" s="182">
        <v>668072.73</v>
      </c>
      <c r="G27" s="182">
        <v>2356904</v>
      </c>
      <c r="H27" s="181">
        <f t="shared" si="1"/>
        <v>3024976.73</v>
      </c>
    </row>
    <row r="28" spans="1:10" ht="15.75" x14ac:dyDescent="0.3">
      <c r="A28" s="121">
        <v>7</v>
      </c>
      <c r="B28" s="186" t="s">
        <v>214</v>
      </c>
      <c r="C28" s="182">
        <v>3800860.93</v>
      </c>
      <c r="D28" s="182">
        <v>5640051.8200000003</v>
      </c>
      <c r="E28" s="183">
        <f t="shared" si="0"/>
        <v>9440912.75</v>
      </c>
      <c r="F28" s="182">
        <v>1739500</v>
      </c>
      <c r="G28" s="182">
        <v>2086579.16</v>
      </c>
      <c r="H28" s="181">
        <f t="shared" si="1"/>
        <v>3826079.16</v>
      </c>
    </row>
    <row r="29" spans="1:10" ht="15.75" x14ac:dyDescent="0.3">
      <c r="A29" s="121">
        <v>8</v>
      </c>
      <c r="B29" s="186" t="s">
        <v>213</v>
      </c>
      <c r="C29" s="182">
        <v>0</v>
      </c>
      <c r="D29" s="182">
        <v>0</v>
      </c>
      <c r="E29" s="183">
        <f t="shared" si="0"/>
        <v>0</v>
      </c>
      <c r="F29" s="182">
        <v>0</v>
      </c>
      <c r="G29" s="182">
        <v>0</v>
      </c>
      <c r="H29" s="181">
        <f t="shared" si="1"/>
        <v>0</v>
      </c>
    </row>
    <row r="30" spans="1:10" ht="15.75" x14ac:dyDescent="0.3">
      <c r="A30" s="121">
        <v>9</v>
      </c>
      <c r="B30" s="187" t="s">
        <v>212</v>
      </c>
      <c r="C30" s="182">
        <f>C31+C32+C33+C34+C35+C36+C37</f>
        <v>0</v>
      </c>
      <c r="D30" s="182">
        <f>D31+D32+D33+D34+D35+D36+D37</f>
        <v>32756400</v>
      </c>
      <c r="E30" s="183">
        <f t="shared" si="0"/>
        <v>32756400</v>
      </c>
      <c r="F30" s="182">
        <f>F31+F32+F33+F34+F35+F36+F37</f>
        <v>1313800</v>
      </c>
      <c r="G30" s="182">
        <f>G31+G32+G33+G34+G35+G36+G37</f>
        <v>5356600</v>
      </c>
      <c r="H30" s="181">
        <f t="shared" si="1"/>
        <v>6670400</v>
      </c>
    </row>
    <row r="31" spans="1:10" ht="27" x14ac:dyDescent="0.3">
      <c r="A31" s="121">
        <v>9.1</v>
      </c>
      <c r="B31" s="185" t="s">
        <v>211</v>
      </c>
      <c r="C31" s="182">
        <v>0</v>
      </c>
      <c r="D31" s="182">
        <v>0</v>
      </c>
      <c r="E31" s="183">
        <f t="shared" si="0"/>
        <v>0</v>
      </c>
      <c r="F31" s="182">
        <v>0</v>
      </c>
      <c r="G31" s="182">
        <v>0</v>
      </c>
      <c r="H31" s="181">
        <f t="shared" si="1"/>
        <v>0</v>
      </c>
      <c r="J31" s="102"/>
    </row>
    <row r="32" spans="1:10" ht="27" x14ac:dyDescent="0.3">
      <c r="A32" s="121">
        <v>9.1999999999999993</v>
      </c>
      <c r="B32" s="185" t="s">
        <v>210</v>
      </c>
      <c r="C32" s="182">
        <v>0</v>
      </c>
      <c r="D32" s="182">
        <v>32756400</v>
      </c>
      <c r="E32" s="183">
        <f t="shared" si="0"/>
        <v>32756400</v>
      </c>
      <c r="F32" s="182">
        <v>1313800</v>
      </c>
      <c r="G32" s="182">
        <v>5356600</v>
      </c>
      <c r="H32" s="181">
        <f t="shared" si="1"/>
        <v>6670400</v>
      </c>
    </row>
    <row r="33" spans="1:8" ht="27" x14ac:dyDescent="0.3">
      <c r="A33" s="121">
        <v>9.3000000000000007</v>
      </c>
      <c r="B33" s="185" t="s">
        <v>209</v>
      </c>
      <c r="C33" s="182">
        <v>0</v>
      </c>
      <c r="D33" s="182">
        <v>0</v>
      </c>
      <c r="E33" s="183">
        <f t="shared" si="0"/>
        <v>0</v>
      </c>
      <c r="F33" s="182">
        <v>0</v>
      </c>
      <c r="G33" s="182">
        <v>0</v>
      </c>
      <c r="H33" s="181">
        <f t="shared" si="1"/>
        <v>0</v>
      </c>
    </row>
    <row r="34" spans="1:8" ht="15.75" x14ac:dyDescent="0.3">
      <c r="A34" s="121">
        <v>9.4</v>
      </c>
      <c r="B34" s="185" t="s">
        <v>208</v>
      </c>
      <c r="C34" s="182">
        <v>0</v>
      </c>
      <c r="D34" s="182">
        <v>0</v>
      </c>
      <c r="E34" s="183">
        <f t="shared" si="0"/>
        <v>0</v>
      </c>
      <c r="F34" s="182">
        <v>0</v>
      </c>
      <c r="G34" s="182">
        <v>0</v>
      </c>
      <c r="H34" s="181">
        <f t="shared" si="1"/>
        <v>0</v>
      </c>
    </row>
    <row r="35" spans="1:8" ht="15.75" x14ac:dyDescent="0.3">
      <c r="A35" s="121">
        <v>9.5</v>
      </c>
      <c r="B35" s="185" t="s">
        <v>207</v>
      </c>
      <c r="C35" s="182">
        <v>0</v>
      </c>
      <c r="D35" s="182">
        <v>0</v>
      </c>
      <c r="E35" s="183">
        <f t="shared" si="0"/>
        <v>0</v>
      </c>
      <c r="F35" s="182">
        <v>0</v>
      </c>
      <c r="G35" s="182">
        <v>0</v>
      </c>
      <c r="H35" s="181">
        <f t="shared" si="1"/>
        <v>0</v>
      </c>
    </row>
    <row r="36" spans="1:8" ht="27" x14ac:dyDescent="0.3">
      <c r="A36" s="121">
        <v>9.6</v>
      </c>
      <c r="B36" s="185" t="s">
        <v>206</v>
      </c>
      <c r="C36" s="182">
        <v>0</v>
      </c>
      <c r="D36" s="182">
        <v>0</v>
      </c>
      <c r="E36" s="183">
        <f t="shared" si="0"/>
        <v>0</v>
      </c>
      <c r="F36" s="182">
        <v>0</v>
      </c>
      <c r="G36" s="182">
        <v>0</v>
      </c>
      <c r="H36" s="181">
        <f t="shared" si="1"/>
        <v>0</v>
      </c>
    </row>
    <row r="37" spans="1:8" ht="27" x14ac:dyDescent="0.3">
      <c r="A37" s="121">
        <v>9.6999999999999993</v>
      </c>
      <c r="B37" s="185" t="s">
        <v>205</v>
      </c>
      <c r="C37" s="182">
        <v>0</v>
      </c>
      <c r="D37" s="182">
        <v>0</v>
      </c>
      <c r="E37" s="183">
        <f t="shared" si="0"/>
        <v>0</v>
      </c>
      <c r="F37" s="182">
        <v>0</v>
      </c>
      <c r="G37" s="182">
        <v>0</v>
      </c>
      <c r="H37" s="181">
        <f t="shared" si="1"/>
        <v>0</v>
      </c>
    </row>
    <row r="38" spans="1:8" ht="15.75" x14ac:dyDescent="0.3">
      <c r="A38" s="121">
        <v>10</v>
      </c>
      <c r="B38" s="186" t="s">
        <v>204</v>
      </c>
      <c r="C38" s="182">
        <f>C39+C40+C41+C42</f>
        <v>3919006.85</v>
      </c>
      <c r="D38" s="182">
        <f>D39+D40+D41+D42</f>
        <v>3315043.06</v>
      </c>
      <c r="E38" s="183">
        <f t="shared" si="0"/>
        <v>7234049.9100000001</v>
      </c>
      <c r="F38" s="182">
        <f>F39+F40+F41+F42</f>
        <v>2517398</v>
      </c>
      <c r="G38" s="182">
        <f>G39+G40+G41+G42</f>
        <v>2352211</v>
      </c>
      <c r="H38" s="181">
        <f t="shared" si="1"/>
        <v>4869609</v>
      </c>
    </row>
    <row r="39" spans="1:8" ht="15.75" x14ac:dyDescent="0.3">
      <c r="A39" s="121">
        <v>10.1</v>
      </c>
      <c r="B39" s="185" t="s">
        <v>203</v>
      </c>
      <c r="C39" s="182">
        <v>135341.85</v>
      </c>
      <c r="D39" s="182">
        <v>168365.06</v>
      </c>
      <c r="E39" s="183">
        <f t="shared" si="0"/>
        <v>303706.91000000003</v>
      </c>
      <c r="F39" s="182">
        <v>2070</v>
      </c>
      <c r="G39" s="182">
        <v>0</v>
      </c>
      <c r="H39" s="181">
        <f t="shared" si="1"/>
        <v>2070</v>
      </c>
    </row>
    <row r="40" spans="1:8" ht="27" x14ac:dyDescent="0.3">
      <c r="A40" s="121">
        <v>10.199999999999999</v>
      </c>
      <c r="B40" s="185" t="s">
        <v>202</v>
      </c>
      <c r="C40" s="182">
        <v>1564577</v>
      </c>
      <c r="D40" s="182">
        <v>2244550</v>
      </c>
      <c r="E40" s="183">
        <f t="shared" si="0"/>
        <v>3809127</v>
      </c>
      <c r="F40" s="182">
        <v>1579455</v>
      </c>
      <c r="G40" s="182">
        <v>2204741</v>
      </c>
      <c r="H40" s="181">
        <f t="shared" si="1"/>
        <v>3784196</v>
      </c>
    </row>
    <row r="41" spans="1:8" ht="27" x14ac:dyDescent="0.3">
      <c r="A41" s="121">
        <v>10.3</v>
      </c>
      <c r="B41" s="185" t="s">
        <v>201</v>
      </c>
      <c r="C41" s="182">
        <v>401055</v>
      </c>
      <c r="D41" s="182">
        <v>286755</v>
      </c>
      <c r="E41" s="183">
        <f t="shared" si="0"/>
        <v>687810</v>
      </c>
      <c r="F41" s="182">
        <v>638043</v>
      </c>
      <c r="G41" s="182">
        <v>128928</v>
      </c>
      <c r="H41" s="181">
        <f t="shared" si="1"/>
        <v>766971</v>
      </c>
    </row>
    <row r="42" spans="1:8" ht="27" x14ac:dyDescent="0.3">
      <c r="A42" s="121">
        <v>10.4</v>
      </c>
      <c r="B42" s="185" t="s">
        <v>200</v>
      </c>
      <c r="C42" s="182">
        <v>1818033</v>
      </c>
      <c r="D42" s="182">
        <v>615373</v>
      </c>
      <c r="E42" s="183">
        <f t="shared" si="0"/>
        <v>2433406</v>
      </c>
      <c r="F42" s="182">
        <v>297830</v>
      </c>
      <c r="G42" s="182">
        <v>18542</v>
      </c>
      <c r="H42" s="181">
        <f t="shared" si="1"/>
        <v>316372</v>
      </c>
    </row>
    <row r="43" spans="1:8" ht="15.75" x14ac:dyDescent="0.3">
      <c r="A43" s="121">
        <v>11</v>
      </c>
      <c r="B43" s="184" t="s">
        <v>199</v>
      </c>
      <c r="C43" s="182">
        <v>0</v>
      </c>
      <c r="D43" s="182">
        <v>0</v>
      </c>
      <c r="E43" s="183">
        <f t="shared" si="0"/>
        <v>0</v>
      </c>
      <c r="F43" s="182">
        <v>0</v>
      </c>
      <c r="G43" s="182">
        <v>0</v>
      </c>
      <c r="H43" s="181">
        <f t="shared" si="1"/>
        <v>0</v>
      </c>
    </row>
    <row r="44" spans="1:8" ht="15.75" x14ac:dyDescent="0.3">
      <c r="C44" s="180"/>
      <c r="D44" s="180"/>
      <c r="E44" s="180"/>
      <c r="F44" s="180"/>
      <c r="G44" s="180"/>
      <c r="H44" s="180"/>
    </row>
    <row r="45" spans="1:8" ht="15.75" x14ac:dyDescent="0.3">
      <c r="C45" s="180"/>
      <c r="D45" s="180"/>
      <c r="E45" s="180"/>
      <c r="F45" s="180"/>
      <c r="G45" s="180"/>
      <c r="H45" s="180"/>
    </row>
    <row r="46" spans="1:8" ht="15.75" x14ac:dyDescent="0.3">
      <c r="C46" s="180"/>
      <c r="D46" s="180"/>
      <c r="E46" s="180"/>
      <c r="F46" s="180"/>
      <c r="G46" s="180"/>
      <c r="H46" s="180"/>
    </row>
    <row r="47" spans="1:8" ht="15.75" x14ac:dyDescent="0.3">
      <c r="C47" s="180"/>
      <c r="D47" s="180"/>
      <c r="E47" s="180"/>
      <c r="F47" s="180"/>
      <c r="G47" s="180"/>
      <c r="H47" s="180"/>
    </row>
    <row r="51" spans="5:6" x14ac:dyDescent="0.25">
      <c r="E51" s="102"/>
      <c r="F51" s="102"/>
    </row>
  </sheetData>
  <mergeCells count="4">
    <mergeCell ref="A4:A5"/>
    <mergeCell ref="B4:B5"/>
    <mergeCell ref="C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ADC2-1B06-4580-A2C4-25BCF47D216B}">
  <dimension ref="A1:G35"/>
  <sheetViews>
    <sheetView zoomScaleNormal="100" workbookViewId="0">
      <pane xSplit="1" ySplit="4" topLeftCell="B5" activePane="bottomRight" state="frozen"/>
      <selection activeCell="D51" sqref="D51"/>
      <selection pane="topRight" activeCell="D51" sqref="D51"/>
      <selection pane="bottomLeft" activeCell="D51" sqref="D51"/>
      <selection pane="bottomRight" activeCell="C19" sqref="C19"/>
    </sheetView>
  </sheetViews>
  <sheetFormatPr defaultColWidth="9.140625" defaultRowHeight="13.5" x14ac:dyDescent="0.25"/>
  <cols>
    <col min="1" max="1" width="9.5703125" style="1" bestFit="1" customWidth="1"/>
    <col min="2" max="2" width="93.5703125" style="1" customWidth="1"/>
    <col min="3" max="5" width="11.7109375" style="1" customWidth="1"/>
    <col min="6" max="6" width="11.7109375" style="194" customWidth="1"/>
    <col min="7" max="7" width="13.7109375" style="194" customWidth="1"/>
    <col min="8" max="8" width="9.7109375" style="194" customWidth="1"/>
    <col min="9" max="16384" width="9.140625" style="194"/>
  </cols>
  <sheetData>
    <row r="1" spans="1:7" ht="15" x14ac:dyDescent="0.3">
      <c r="A1" s="113" t="s">
        <v>94</v>
      </c>
      <c r="B1" s="21" t="str">
        <f>Info!C2</f>
        <v>სს სილქ ბანკი</v>
      </c>
      <c r="C1" s="21"/>
      <c r="D1" s="21"/>
    </row>
    <row r="2" spans="1:7" ht="15" x14ac:dyDescent="0.3">
      <c r="A2" s="113" t="s">
        <v>93</v>
      </c>
      <c r="B2" s="114">
        <f>'1. key ratios'!B2</f>
        <v>45565</v>
      </c>
      <c r="C2" s="21"/>
      <c r="D2" s="21"/>
    </row>
    <row r="3" spans="1:7" ht="15" x14ac:dyDescent="0.3">
      <c r="A3" s="113"/>
      <c r="B3" s="21"/>
      <c r="C3" s="21"/>
      <c r="D3" s="21"/>
    </row>
    <row r="4" spans="1:7" ht="40.5" customHeight="1" thickBot="1" x14ac:dyDescent="0.35">
      <c r="A4" s="216" t="s">
        <v>252</v>
      </c>
      <c r="B4" s="215" t="s">
        <v>24</v>
      </c>
      <c r="C4" s="214" t="s">
        <v>251</v>
      </c>
      <c r="D4" s="214"/>
    </row>
    <row r="5" spans="1:7" ht="15" customHeight="1" x14ac:dyDescent="0.2">
      <c r="A5" s="213" t="s">
        <v>89</v>
      </c>
      <c r="B5" s="212"/>
      <c r="C5" s="211" t="str">
        <f>INT((MONTH($B$2))/3)&amp;"Q"&amp;"-"&amp;YEAR($B$2)</f>
        <v>3Q-2024</v>
      </c>
      <c r="D5" s="211" t="str">
        <f>IF(INT(MONTH($B$2))=3, "4"&amp;"Q"&amp;"-"&amp;YEAR($B$2)-1, IF(INT(MONTH($B$2))=6, "1"&amp;"Q"&amp;"-"&amp;YEAR($B$2), IF(INT(MONTH($B$2))=9, "2"&amp;"Q"&amp;"-"&amp;YEAR($B$2),IF(INT(MONTH($B$2))=12, "3"&amp;"Q"&amp;"-"&amp;YEAR($B$2), 0))))</f>
        <v>2Q-2024</v>
      </c>
      <c r="E5" s="211" t="str">
        <f>IF(INT(MONTH($B$2))=3, "3"&amp;"Q"&amp;"-"&amp;YEAR($B$2)-1, IF(INT(MONTH($B$2))=6, "4"&amp;"Q"&amp;"-"&amp;YEAR($B$2)-1, IF(INT(MONTH($B$2))=9, "1"&amp;"Q"&amp;"-"&amp;YEAR($B$2),IF(INT(MONTH($B$2))=12, "2"&amp;"Q"&amp;"-"&amp;YEAR($B$2), 0))))</f>
        <v>1Q-2024</v>
      </c>
      <c r="F5" s="211" t="str">
        <f>IF(INT(MONTH($B$2))=3, "2"&amp;"Q"&amp;"-"&amp;YEAR($B$2)-1, IF(INT(MONTH($B$2))=6, "3"&amp;"Q"&amp;"-"&amp;YEAR($B$2)-1, IF(INT(MONTH($B$2))=9, "4"&amp;"Q"&amp;"-"&amp;YEAR($B$2)-1,IF(INT(MONTH($B$2))=12, "1"&amp;"Q"&amp;"-"&amp;YEAR($B$2), 0))))</f>
        <v>4Q-2023</v>
      </c>
      <c r="G5" s="211" t="str">
        <f>IF(INT(MONTH($B$2))=3, "1"&amp;"Q"&amp;"-"&amp;YEAR($B$2)-1, IF(INT(MONTH($B$2))=6, "2"&amp;"Q"&amp;"-"&amp;YEAR($B$2)-1, IF(INT(MONTH($B$2))=9, "3"&amp;"Q"&amp;"-"&amp;YEAR($B$2)-1,IF(INT(MONTH($B$2))=12, "4"&amp;"Q"&amp;"-"&amp;YEAR($B$2)-1, 0))))</f>
        <v>3Q-2023</v>
      </c>
    </row>
    <row r="6" spans="1:7" ht="15" customHeight="1" x14ac:dyDescent="0.2">
      <c r="A6" s="205">
        <v>1</v>
      </c>
      <c r="B6" s="204" t="s">
        <v>250</v>
      </c>
      <c r="C6" s="209">
        <f>C7+C9+C10</f>
        <v>159700294.78556013</v>
      </c>
      <c r="D6" s="209">
        <v>146303205.7720727</v>
      </c>
      <c r="E6" s="209">
        <v>116957037.78093955</v>
      </c>
      <c r="F6" s="209">
        <v>110764522.38074145</v>
      </c>
      <c r="G6" s="210">
        <v>79633223.293629467</v>
      </c>
    </row>
    <row r="7" spans="1:7" ht="15" customHeight="1" x14ac:dyDescent="0.2">
      <c r="A7" s="205">
        <v>1.1000000000000001</v>
      </c>
      <c r="B7" s="207" t="s">
        <v>249</v>
      </c>
      <c r="C7" s="201">
        <v>154330837.78556013</v>
      </c>
      <c r="D7" s="201">
        <v>139767862.17821136</v>
      </c>
      <c r="E7" s="203">
        <v>112969832.30927244</v>
      </c>
      <c r="F7" s="201">
        <v>106221900.62103853</v>
      </c>
      <c r="G7" s="202">
        <v>75682512.27550739</v>
      </c>
    </row>
    <row r="8" spans="1:7" ht="27" x14ac:dyDescent="0.2">
      <c r="A8" s="205" t="s">
        <v>248</v>
      </c>
      <c r="B8" s="208" t="s">
        <v>247</v>
      </c>
      <c r="C8" s="201"/>
      <c r="D8" s="201"/>
      <c r="E8" s="203"/>
      <c r="F8" s="201"/>
      <c r="G8" s="202"/>
    </row>
    <row r="9" spans="1:7" ht="15" customHeight="1" x14ac:dyDescent="0.2">
      <c r="A9" s="205">
        <v>1.2</v>
      </c>
      <c r="B9" s="207" t="s">
        <v>246</v>
      </c>
      <c r="C9" s="201">
        <v>4714329</v>
      </c>
      <c r="D9" s="201">
        <v>5787333.593861334</v>
      </c>
      <c r="E9" s="203">
        <v>3637469.4716671063</v>
      </c>
      <c r="F9" s="201">
        <v>4279663.7597029284</v>
      </c>
      <c r="G9" s="202">
        <v>3817303.0181220695</v>
      </c>
    </row>
    <row r="10" spans="1:7" ht="15" customHeight="1" x14ac:dyDescent="0.2">
      <c r="A10" s="205">
        <v>1.3</v>
      </c>
      <c r="B10" s="206" t="s">
        <v>12</v>
      </c>
      <c r="C10" s="201">
        <v>655128</v>
      </c>
      <c r="D10" s="201">
        <v>748010</v>
      </c>
      <c r="E10" s="203">
        <v>349736</v>
      </c>
      <c r="F10" s="201">
        <v>262958</v>
      </c>
      <c r="G10" s="202">
        <v>133408</v>
      </c>
    </row>
    <row r="11" spans="1:7" ht="15" customHeight="1" x14ac:dyDescent="0.2">
      <c r="A11" s="205">
        <v>2</v>
      </c>
      <c r="B11" s="204" t="s">
        <v>245</v>
      </c>
      <c r="C11" s="201">
        <v>284011.43371421</v>
      </c>
      <c r="D11" s="201">
        <v>834254.09875951475</v>
      </c>
      <c r="E11" s="203">
        <v>618164.27297467901</v>
      </c>
      <c r="F11" s="201">
        <v>749272.26096899912</v>
      </c>
      <c r="G11" s="202">
        <v>297313.52988999954</v>
      </c>
    </row>
    <row r="12" spans="1:7" ht="15" customHeight="1" x14ac:dyDescent="0.2">
      <c r="A12" s="205">
        <v>3</v>
      </c>
      <c r="B12" s="204" t="s">
        <v>244</v>
      </c>
      <c r="C12" s="201">
        <v>9176496.3328977302</v>
      </c>
      <c r="D12" s="201">
        <v>9176496.3328977302</v>
      </c>
      <c r="E12" s="203">
        <v>9168301.2517249286</v>
      </c>
      <c r="F12" s="201">
        <v>9168301.2517249286</v>
      </c>
      <c r="G12" s="202">
        <v>8764146.5926030725</v>
      </c>
    </row>
    <row r="13" spans="1:7" ht="15" customHeight="1" thickBot="1" x14ac:dyDescent="0.25">
      <c r="A13" s="200">
        <v>4</v>
      </c>
      <c r="B13" s="199" t="s">
        <v>243</v>
      </c>
      <c r="C13" s="197">
        <f>C6+C11+C12</f>
        <v>169160802.55217206</v>
      </c>
      <c r="D13" s="197">
        <v>156313956.20372993</v>
      </c>
      <c r="E13" s="197">
        <v>126743503.30563916</v>
      </c>
      <c r="F13" s="197">
        <v>120682095.89343537</v>
      </c>
      <c r="G13" s="198">
        <v>88694683.416122541</v>
      </c>
    </row>
    <row r="14" spans="1:7" x14ac:dyDescent="0.25">
      <c r="B14" s="24"/>
    </row>
    <row r="15" spans="1:7" ht="27" x14ac:dyDescent="0.25">
      <c r="B15" s="24" t="s">
        <v>242</v>
      </c>
    </row>
    <row r="16" spans="1:7" x14ac:dyDescent="0.25">
      <c r="B16" s="24"/>
    </row>
    <row r="17" spans="2:7" x14ac:dyDescent="0.25">
      <c r="B17" s="24"/>
    </row>
    <row r="18" spans="2:7" x14ac:dyDescent="0.25">
      <c r="B18" s="24"/>
      <c r="D18" s="195"/>
    </row>
    <row r="22" spans="2:7" x14ac:dyDescent="0.25">
      <c r="B22" s="196"/>
    </row>
    <row r="25" spans="2:7" x14ac:dyDescent="0.25">
      <c r="D25" s="195"/>
      <c r="E25" s="195"/>
      <c r="F25" s="195"/>
      <c r="G25" s="195"/>
    </row>
    <row r="26" spans="2:7" x14ac:dyDescent="0.25">
      <c r="D26" s="195"/>
      <c r="E26" s="195"/>
      <c r="F26" s="195"/>
      <c r="G26" s="195"/>
    </row>
    <row r="27" spans="2:7" x14ac:dyDescent="0.25">
      <c r="D27" s="195"/>
      <c r="E27" s="195"/>
      <c r="F27" s="195"/>
      <c r="G27" s="195"/>
    </row>
    <row r="28" spans="2:7" x14ac:dyDescent="0.25">
      <c r="D28" s="195"/>
      <c r="E28" s="195"/>
      <c r="F28" s="195"/>
      <c r="G28" s="195"/>
    </row>
    <row r="29" spans="2:7" x14ac:dyDescent="0.25">
      <c r="D29" s="195"/>
      <c r="E29" s="195"/>
      <c r="F29" s="195"/>
      <c r="G29" s="195"/>
    </row>
    <row r="30" spans="2:7" x14ac:dyDescent="0.25">
      <c r="D30" s="195"/>
      <c r="E30" s="195"/>
      <c r="F30" s="195"/>
      <c r="G30" s="195"/>
    </row>
    <row r="31" spans="2:7" x14ac:dyDescent="0.25">
      <c r="D31" s="195"/>
      <c r="E31" s="195"/>
      <c r="F31" s="195"/>
      <c r="G31" s="195"/>
    </row>
    <row r="32" spans="2:7" x14ac:dyDescent="0.25">
      <c r="D32" s="195"/>
      <c r="E32" s="195"/>
      <c r="F32" s="195"/>
      <c r="G32" s="195"/>
    </row>
    <row r="33" spans="4:7" x14ac:dyDescent="0.25">
      <c r="D33" s="195"/>
      <c r="E33" s="195"/>
      <c r="F33" s="195"/>
      <c r="G33" s="195"/>
    </row>
    <row r="34" spans="4:7" x14ac:dyDescent="0.25">
      <c r="D34" s="195"/>
      <c r="E34" s="195"/>
      <c r="F34" s="195"/>
      <c r="G34" s="195"/>
    </row>
    <row r="35" spans="4:7" x14ac:dyDescent="0.25">
      <c r="D35" s="195"/>
      <c r="E35" s="195"/>
      <c r="F35" s="195"/>
      <c r="G35" s="19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C849-2CC1-41F5-9BC5-CD548ECC6F63}">
  <dimension ref="A1:E38"/>
  <sheetViews>
    <sheetView showGridLines="0" zoomScale="115" zoomScaleNormal="115" workbookViewId="0">
      <pane xSplit="1" ySplit="4" topLeftCell="B24" activePane="bottomRight" state="frozen"/>
      <selection activeCell="D51" sqref="D51"/>
      <selection pane="topRight" activeCell="D51" sqref="D51"/>
      <selection pane="bottomLeft" activeCell="D51" sqref="D51"/>
      <selection pane="bottomRight" activeCell="D29" sqref="D29"/>
    </sheetView>
  </sheetViews>
  <sheetFormatPr defaultRowHeight="15" x14ac:dyDescent="0.25"/>
  <cols>
    <col min="1" max="1" width="9.5703125" style="1" bestFit="1" customWidth="1"/>
    <col min="2" max="2" width="53.7109375" style="1" customWidth="1"/>
    <col min="3" max="3" width="36.140625" style="1" customWidth="1"/>
    <col min="4" max="4" width="31.7109375" bestFit="1" customWidth="1"/>
  </cols>
  <sheetData>
    <row r="1" spans="1:3" x14ac:dyDescent="0.25">
      <c r="A1" s="1" t="s">
        <v>94</v>
      </c>
      <c r="B1" s="1" t="str">
        <f>Info!C2</f>
        <v>სს სილქ ბანკი</v>
      </c>
    </row>
    <row r="2" spans="1:3" x14ac:dyDescent="0.25">
      <c r="A2" s="1" t="s">
        <v>93</v>
      </c>
      <c r="B2" s="114">
        <f>'1. key ratios'!B2</f>
        <v>45565</v>
      </c>
    </row>
    <row r="4" spans="1:3" ht="40.5" customHeight="1" thickBot="1" x14ac:dyDescent="0.35">
      <c r="A4" s="242" t="s">
        <v>290</v>
      </c>
      <c r="B4" s="802" t="s">
        <v>23</v>
      </c>
      <c r="C4" s="802"/>
    </row>
    <row r="5" spans="1:3" ht="15.75" x14ac:dyDescent="0.3">
      <c r="A5" s="241"/>
      <c r="B5" s="240" t="s">
        <v>289</v>
      </c>
      <c r="C5" s="193" t="s">
        <v>288</v>
      </c>
    </row>
    <row r="6" spans="1:3" x14ac:dyDescent="0.25">
      <c r="A6" s="228">
        <v>1</v>
      </c>
      <c r="B6" s="226" t="s">
        <v>287</v>
      </c>
      <c r="C6" s="239" t="s">
        <v>286</v>
      </c>
    </row>
    <row r="7" spans="1:3" x14ac:dyDescent="0.25">
      <c r="A7" s="228">
        <v>2</v>
      </c>
      <c r="B7" s="226" t="s">
        <v>285</v>
      </c>
      <c r="C7" s="239" t="s">
        <v>282</v>
      </c>
    </row>
    <row r="8" spans="1:3" x14ac:dyDescent="0.25">
      <c r="A8" s="228">
        <v>3</v>
      </c>
      <c r="B8" s="226" t="s">
        <v>284</v>
      </c>
      <c r="C8" s="239" t="s">
        <v>282</v>
      </c>
    </row>
    <row r="9" spans="1:3" x14ac:dyDescent="0.25">
      <c r="A9" s="228">
        <v>4</v>
      </c>
      <c r="B9" s="226" t="s">
        <v>283</v>
      </c>
      <c r="C9" s="239" t="s">
        <v>282</v>
      </c>
    </row>
    <row r="10" spans="1:3" x14ac:dyDescent="0.25">
      <c r="A10" s="228">
        <v>5</v>
      </c>
      <c r="B10" s="226" t="s">
        <v>281</v>
      </c>
      <c r="C10" s="239" t="s">
        <v>279</v>
      </c>
    </row>
    <row r="11" spans="1:3" x14ac:dyDescent="0.25">
      <c r="A11" s="228">
        <v>6</v>
      </c>
      <c r="B11" s="226" t="s">
        <v>280</v>
      </c>
      <c r="C11" s="239" t="s">
        <v>279</v>
      </c>
    </row>
    <row r="12" spans="1:3" x14ac:dyDescent="0.25">
      <c r="A12" s="228"/>
      <c r="B12" s="798"/>
      <c r="C12" s="799"/>
    </row>
    <row r="13" spans="1:3" ht="45" x14ac:dyDescent="0.25">
      <c r="A13" s="228"/>
      <c r="B13" s="229" t="s">
        <v>278</v>
      </c>
      <c r="C13" s="238" t="s">
        <v>277</v>
      </c>
    </row>
    <row r="14" spans="1:3" ht="15.75" x14ac:dyDescent="0.3">
      <c r="A14" s="228">
        <v>1</v>
      </c>
      <c r="B14" s="235" t="s">
        <v>276</v>
      </c>
      <c r="C14" s="236" t="s">
        <v>275</v>
      </c>
    </row>
    <row r="15" spans="1:3" ht="15.75" x14ac:dyDescent="0.3">
      <c r="A15" s="228">
        <v>2</v>
      </c>
      <c r="B15" s="237" t="s">
        <v>274</v>
      </c>
      <c r="C15" s="236" t="s">
        <v>273</v>
      </c>
    </row>
    <row r="16" spans="1:3" ht="15.75" x14ac:dyDescent="0.3">
      <c r="A16" s="228">
        <v>3</v>
      </c>
      <c r="B16" s="237" t="s">
        <v>272</v>
      </c>
      <c r="C16" s="236" t="s">
        <v>271</v>
      </c>
    </row>
    <row r="17" spans="1:5" ht="30" x14ac:dyDescent="0.3">
      <c r="A17" s="228">
        <v>4</v>
      </c>
      <c r="B17" s="235" t="s">
        <v>270</v>
      </c>
      <c r="C17" s="236" t="s">
        <v>269</v>
      </c>
    </row>
    <row r="18" spans="1:5" ht="15.75" x14ac:dyDescent="0.3">
      <c r="A18" s="228">
        <v>5</v>
      </c>
      <c r="B18" s="235" t="s">
        <v>268</v>
      </c>
      <c r="C18" s="236" t="s">
        <v>267</v>
      </c>
    </row>
    <row r="19" spans="1:5" ht="30" x14ac:dyDescent="0.3">
      <c r="A19" s="228">
        <v>6</v>
      </c>
      <c r="B19" s="235" t="s">
        <v>266</v>
      </c>
      <c r="C19" s="236" t="s">
        <v>265</v>
      </c>
    </row>
    <row r="20" spans="1:5" ht="15.75" x14ac:dyDescent="0.3">
      <c r="A20" s="228">
        <v>7</v>
      </c>
      <c r="B20" s="235"/>
      <c r="C20" s="236"/>
    </row>
    <row r="21" spans="1:5" ht="15.75" x14ac:dyDescent="0.3">
      <c r="A21" s="228"/>
      <c r="B21" s="235"/>
      <c r="C21" s="236"/>
    </row>
    <row r="22" spans="1:5" ht="15.75" x14ac:dyDescent="0.3">
      <c r="A22" s="228"/>
      <c r="B22" s="235"/>
      <c r="C22" s="234"/>
    </row>
    <row r="23" spans="1:5" ht="26.45" customHeight="1" x14ac:dyDescent="0.25">
      <c r="A23" s="228"/>
      <c r="B23" s="800" t="s">
        <v>264</v>
      </c>
      <c r="C23" s="801"/>
      <c r="D23" s="233"/>
    </row>
    <row r="24" spans="1:5" ht="30" customHeight="1" x14ac:dyDescent="0.25">
      <c r="A24" s="228">
        <v>1</v>
      </c>
      <c r="B24" s="226" t="s">
        <v>262</v>
      </c>
      <c r="C24" s="232">
        <v>0.58175670000000002</v>
      </c>
      <c r="D24" s="221"/>
      <c r="E24" s="27"/>
    </row>
    <row r="25" spans="1:5" ht="15" customHeight="1" x14ac:dyDescent="0.25">
      <c r="A25" s="228">
        <v>2</v>
      </c>
      <c r="B25" s="226" t="s">
        <v>258</v>
      </c>
      <c r="C25" s="232">
        <v>0.36009000000000002</v>
      </c>
      <c r="D25" s="221"/>
      <c r="E25" s="27"/>
    </row>
    <row r="26" spans="1:5" x14ac:dyDescent="0.25">
      <c r="A26" s="228">
        <v>3</v>
      </c>
      <c r="B26" s="226" t="s">
        <v>254</v>
      </c>
      <c r="C26" s="232">
        <v>5.8110500000000002E-2</v>
      </c>
      <c r="D26" s="221"/>
      <c r="E26" s="27"/>
    </row>
    <row r="27" spans="1:5" x14ac:dyDescent="0.25">
      <c r="A27" s="228"/>
      <c r="B27" s="226"/>
      <c r="C27" s="231"/>
    </row>
    <row r="28" spans="1:5" ht="32.450000000000003" customHeight="1" x14ac:dyDescent="0.25">
      <c r="A28" s="228"/>
      <c r="B28" s="800" t="s">
        <v>263</v>
      </c>
      <c r="C28" s="801"/>
      <c r="D28" s="221"/>
      <c r="E28" s="230"/>
    </row>
    <row r="29" spans="1:5" ht="29.25" customHeight="1" x14ac:dyDescent="0.25">
      <c r="A29" s="228">
        <v>1</v>
      </c>
      <c r="B29" s="226" t="s">
        <v>262</v>
      </c>
      <c r="C29" s="227">
        <v>0.58175670000000002</v>
      </c>
      <c r="D29" s="221"/>
      <c r="E29" s="27"/>
    </row>
    <row r="30" spans="1:5" ht="15" customHeight="1" x14ac:dyDescent="0.25">
      <c r="A30" s="225">
        <v>1.1000000000000001</v>
      </c>
      <c r="B30" s="220" t="s">
        <v>261</v>
      </c>
      <c r="C30" s="222">
        <v>0.36010999999999999</v>
      </c>
      <c r="D30" s="221"/>
      <c r="E30" s="27"/>
    </row>
    <row r="31" spans="1:5" x14ac:dyDescent="0.25">
      <c r="A31" s="225">
        <v>1.2</v>
      </c>
      <c r="B31" s="220" t="s">
        <v>260</v>
      </c>
      <c r="C31" s="222">
        <v>0.16627</v>
      </c>
      <c r="D31" s="221"/>
      <c r="E31" s="27"/>
    </row>
    <row r="32" spans="1:5" x14ac:dyDescent="0.25">
      <c r="A32" s="225">
        <v>1.3</v>
      </c>
      <c r="B32" s="220" t="s">
        <v>259</v>
      </c>
      <c r="C32" s="222">
        <v>5.5379999999999999E-2</v>
      </c>
      <c r="D32" s="221"/>
      <c r="E32" s="27"/>
    </row>
    <row r="33" spans="1:5" x14ac:dyDescent="0.25">
      <c r="A33" s="225">
        <v>2</v>
      </c>
      <c r="B33" s="220" t="s">
        <v>258</v>
      </c>
      <c r="C33" s="222">
        <v>0.36009000000000002</v>
      </c>
      <c r="D33" s="221"/>
      <c r="E33" s="27"/>
    </row>
    <row r="34" spans="1:5" ht="27" x14ac:dyDescent="0.25">
      <c r="A34" s="225">
        <v>2.1</v>
      </c>
      <c r="B34" s="220" t="s">
        <v>257</v>
      </c>
      <c r="C34" s="224">
        <v>0.36009000000000002</v>
      </c>
      <c r="D34" s="221"/>
      <c r="E34" s="27"/>
    </row>
    <row r="35" spans="1:5" x14ac:dyDescent="0.25">
      <c r="A35" s="223" t="s">
        <v>256</v>
      </c>
      <c r="B35" s="220" t="s">
        <v>255</v>
      </c>
      <c r="C35" s="222">
        <v>0.36009000000000002</v>
      </c>
      <c r="D35" s="221"/>
      <c r="E35" s="27"/>
    </row>
    <row r="36" spans="1:5" x14ac:dyDescent="0.25">
      <c r="A36" s="223">
        <v>3</v>
      </c>
      <c r="B36" s="220" t="s">
        <v>254</v>
      </c>
      <c r="C36" s="222">
        <v>5.8110500000000002E-2</v>
      </c>
      <c r="D36" s="221"/>
      <c r="E36" s="27"/>
    </row>
    <row r="37" spans="1:5" x14ac:dyDescent="0.25">
      <c r="A37" s="223">
        <v>3.1</v>
      </c>
      <c r="B37" s="220" t="s">
        <v>253</v>
      </c>
      <c r="C37" s="222">
        <v>5.5399999999999998E-2</v>
      </c>
      <c r="D37" s="221"/>
      <c r="E37" s="27"/>
    </row>
    <row r="38" spans="1:5" ht="16.5" thickBot="1" x14ac:dyDescent="0.35">
      <c r="A38" s="219"/>
      <c r="B38" s="218"/>
      <c r="C38" s="217"/>
    </row>
  </sheetData>
  <mergeCells count="4">
    <mergeCell ref="B12:C12"/>
    <mergeCell ref="B28:C28"/>
    <mergeCell ref="B23:C23"/>
    <mergeCell ref="B4:C4"/>
  </mergeCells>
  <dataValidations count="1">
    <dataValidation type="list" allowBlank="1" showInputMessage="1" showErrorMessage="1" sqref="C6:C11" xr:uid="{00000000-0002-0000-0600-000000000000}">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900B-36B7-4E3D-9A7B-52CAB965D983}">
  <dimension ref="A1:F49"/>
  <sheetViews>
    <sheetView zoomScale="120" zoomScaleNormal="120" workbookViewId="0">
      <pane xSplit="1" ySplit="5" topLeftCell="B25" activePane="bottomRight" state="frozen"/>
      <selection activeCell="D51" sqref="D51"/>
      <selection pane="topRight" activeCell="D51" sqref="D51"/>
      <selection pane="bottomLeft" activeCell="D51" sqref="D51"/>
      <selection pane="bottomRight" activeCell="F7" sqref="F7"/>
    </sheetView>
  </sheetViews>
  <sheetFormatPr defaultRowHeight="15" x14ac:dyDescent="0.25"/>
  <cols>
    <col min="1" max="1" width="9.5703125" style="1" bestFit="1" customWidth="1"/>
    <col min="2" max="2" width="47.5703125" style="1" customWidth="1"/>
    <col min="3" max="3" width="28" style="1" customWidth="1"/>
    <col min="4" max="4" width="25.5703125" style="1" hidden="1" customWidth="1"/>
    <col min="5" max="5" width="22.5703125" style="1" customWidth="1"/>
    <col min="6" max="6" width="62.140625" customWidth="1"/>
  </cols>
  <sheetData>
    <row r="1" spans="1:6" ht="15.75" x14ac:dyDescent="0.3">
      <c r="A1" s="113" t="s">
        <v>94</v>
      </c>
      <c r="B1" s="21" t="str">
        <f>Info!C2</f>
        <v>სს სილქ ბანკი</v>
      </c>
    </row>
    <row r="2" spans="1:6" s="113" customFormat="1" ht="15.75" customHeight="1" x14ac:dyDescent="0.3">
      <c r="A2" s="113" t="s">
        <v>93</v>
      </c>
      <c r="B2" s="114">
        <f>'1. key ratios'!B2</f>
        <v>45565</v>
      </c>
    </row>
    <row r="3" spans="1:6" s="113" customFormat="1" ht="15.75" customHeight="1" x14ac:dyDescent="0.3"/>
    <row r="4" spans="1:6" s="113" customFormat="1" ht="40.5" customHeight="1" thickBot="1" x14ac:dyDescent="0.35">
      <c r="A4" s="261" t="s">
        <v>300</v>
      </c>
      <c r="B4" s="260" t="s">
        <v>22</v>
      </c>
      <c r="C4" s="259"/>
      <c r="D4" s="259"/>
      <c r="E4" s="258" t="s">
        <v>251</v>
      </c>
    </row>
    <row r="5" spans="1:6" s="254" customFormat="1" ht="17.45" customHeight="1" x14ac:dyDescent="0.25">
      <c r="A5" s="257"/>
      <c r="B5" s="256"/>
      <c r="C5" s="255" t="s">
        <v>299</v>
      </c>
      <c r="D5" s="255" t="s">
        <v>298</v>
      </c>
      <c r="E5" s="255" t="s">
        <v>297</v>
      </c>
      <c r="F5" s="765"/>
    </row>
    <row r="6" spans="1:6" ht="14.45" customHeight="1" x14ac:dyDescent="0.25">
      <c r="A6" s="253"/>
      <c r="B6" s="803" t="s">
        <v>296</v>
      </c>
      <c r="C6" s="803" t="s">
        <v>295</v>
      </c>
      <c r="D6" s="804" t="s">
        <v>294</v>
      </c>
      <c r="E6" s="805"/>
      <c r="F6" s="766"/>
    </row>
    <row r="7" spans="1:6" ht="99.6" customHeight="1" x14ac:dyDescent="0.25">
      <c r="A7" s="253"/>
      <c r="B7" s="803"/>
      <c r="C7" s="803"/>
      <c r="D7" s="251" t="s">
        <v>293</v>
      </c>
      <c r="E7" s="251" t="s">
        <v>292</v>
      </c>
      <c r="F7" s="766"/>
    </row>
    <row r="8" spans="1:6" ht="22.5" customHeight="1" x14ac:dyDescent="0.25">
      <c r="A8" s="155">
        <v>1</v>
      </c>
      <c r="B8" s="150" t="s">
        <v>155</v>
      </c>
      <c r="C8" s="250">
        <f>SUM(C9:C11)</f>
        <v>48942391.851024881</v>
      </c>
      <c r="D8" s="250">
        <f>SUM(D9:D11)</f>
        <v>0</v>
      </c>
      <c r="E8" s="250">
        <f>SUM(E9:E11)</f>
        <v>48942391.851024881</v>
      </c>
      <c r="F8" s="766"/>
    </row>
    <row r="9" spans="1:6" x14ac:dyDescent="0.25">
      <c r="A9" s="155">
        <v>1.1000000000000001</v>
      </c>
      <c r="B9" s="136" t="s">
        <v>154</v>
      </c>
      <c r="C9" s="250">
        <f>'2. SOFP'!E8</f>
        <v>4864761.790000001</v>
      </c>
      <c r="D9" s="250"/>
      <c r="E9" s="250">
        <f t="shared" ref="E9:E15" si="0">C9-D9</f>
        <v>4864761.790000001</v>
      </c>
      <c r="F9" s="766"/>
    </row>
    <row r="10" spans="1:6" x14ac:dyDescent="0.25">
      <c r="A10" s="155">
        <v>1.2</v>
      </c>
      <c r="B10" s="136" t="s">
        <v>153</v>
      </c>
      <c r="C10" s="250">
        <f>'2. SOFP'!E9</f>
        <v>4801595.1099999035</v>
      </c>
      <c r="D10" s="250"/>
      <c r="E10" s="250">
        <f t="shared" si="0"/>
        <v>4801595.1099999035</v>
      </c>
      <c r="F10" s="766"/>
    </row>
    <row r="11" spans="1:6" x14ac:dyDescent="0.25">
      <c r="A11" s="155">
        <v>1.3</v>
      </c>
      <c r="B11" s="136" t="s">
        <v>152</v>
      </c>
      <c r="C11" s="250">
        <f>'2. SOFP'!E10</f>
        <v>39276034.951024972</v>
      </c>
      <c r="D11" s="250"/>
      <c r="E11" s="250">
        <f t="shared" si="0"/>
        <v>39276034.951024972</v>
      </c>
      <c r="F11" s="766"/>
    </row>
    <row r="12" spans="1:6" x14ac:dyDescent="0.25">
      <c r="A12" s="155">
        <v>2</v>
      </c>
      <c r="B12" s="127" t="s">
        <v>151</v>
      </c>
      <c r="C12" s="250">
        <f>'2. SOFP'!E11</f>
        <v>775793.56854843523</v>
      </c>
      <c r="D12" s="250"/>
      <c r="E12" s="250">
        <f t="shared" si="0"/>
        <v>775793.56854843523</v>
      </c>
      <c r="F12" s="766"/>
    </row>
    <row r="13" spans="1:6" ht="21" x14ac:dyDescent="0.25">
      <c r="A13" s="155">
        <v>2.1</v>
      </c>
      <c r="B13" s="141" t="s">
        <v>126</v>
      </c>
      <c r="C13" s="250">
        <f>'2. SOFP'!E12</f>
        <v>775793.56854843523</v>
      </c>
      <c r="D13" s="250"/>
      <c r="E13" s="250">
        <f t="shared" si="0"/>
        <v>775793.56854843523</v>
      </c>
      <c r="F13" s="766"/>
    </row>
    <row r="14" spans="1:6" ht="33.950000000000003" customHeight="1" x14ac:dyDescent="0.25">
      <c r="A14" s="155">
        <v>3</v>
      </c>
      <c r="B14" s="147" t="s">
        <v>150</v>
      </c>
      <c r="C14" s="250">
        <f>'2. SOFP'!E13</f>
        <v>0</v>
      </c>
      <c r="D14" s="250"/>
      <c r="E14" s="250">
        <f t="shared" si="0"/>
        <v>0</v>
      </c>
      <c r="F14" s="766"/>
    </row>
    <row r="15" spans="1:6" ht="32.450000000000003" customHeight="1" x14ac:dyDescent="0.25">
      <c r="A15" s="155">
        <v>4</v>
      </c>
      <c r="B15" s="123" t="s">
        <v>149</v>
      </c>
      <c r="C15" s="250">
        <f>'2. SOFP'!E14</f>
        <v>0</v>
      </c>
      <c r="D15" s="250"/>
      <c r="E15" s="250">
        <f t="shared" si="0"/>
        <v>0</v>
      </c>
      <c r="F15" s="766"/>
    </row>
    <row r="16" spans="1:6" ht="23.1" customHeight="1" x14ac:dyDescent="0.25">
      <c r="A16" s="155">
        <v>5</v>
      </c>
      <c r="B16" s="123" t="s">
        <v>148</v>
      </c>
      <c r="C16" s="250">
        <f>SUM(C17:C19)</f>
        <v>20000</v>
      </c>
      <c r="D16" s="250">
        <f>SUM(D17:D19)</f>
        <v>0</v>
      </c>
      <c r="E16" s="250">
        <f>SUM(E17:E19)</f>
        <v>20000</v>
      </c>
      <c r="F16" s="766"/>
    </row>
    <row r="17" spans="1:6" x14ac:dyDescent="0.25">
      <c r="A17" s="155">
        <v>5.0999999999999996</v>
      </c>
      <c r="B17" s="126" t="s">
        <v>147</v>
      </c>
      <c r="C17" s="250">
        <f>'2. SOFP'!E16</f>
        <v>20000</v>
      </c>
      <c r="D17" s="250"/>
      <c r="E17" s="250">
        <f>C17-D17</f>
        <v>20000</v>
      </c>
      <c r="F17" s="766"/>
    </row>
    <row r="18" spans="1:6" x14ac:dyDescent="0.25">
      <c r="A18" s="155">
        <v>5.2</v>
      </c>
      <c r="B18" s="126" t="s">
        <v>145</v>
      </c>
      <c r="C18" s="250">
        <f>'2. SOFP'!E17</f>
        <v>0</v>
      </c>
      <c r="D18" s="250"/>
      <c r="E18" s="250">
        <f>C18-D18</f>
        <v>0</v>
      </c>
      <c r="F18" s="766"/>
    </row>
    <row r="19" spans="1:6" x14ac:dyDescent="0.25">
      <c r="A19" s="155">
        <v>5.3</v>
      </c>
      <c r="B19" s="126" t="s">
        <v>144</v>
      </c>
      <c r="C19" s="250">
        <f>'2. SOFP'!E18</f>
        <v>0</v>
      </c>
      <c r="D19" s="250"/>
      <c r="E19" s="250">
        <f>C19-D19</f>
        <v>0</v>
      </c>
      <c r="F19" s="766"/>
    </row>
    <row r="20" spans="1:6" ht="21" x14ac:dyDescent="0.25">
      <c r="A20" s="155">
        <v>6</v>
      </c>
      <c r="B20" s="147" t="s">
        <v>146</v>
      </c>
      <c r="C20" s="250">
        <f>SUM(C21:C22)</f>
        <v>131077560.0802357</v>
      </c>
      <c r="D20" s="250">
        <f>SUM(D21:D22)</f>
        <v>0</v>
      </c>
      <c r="E20" s="250">
        <f>SUM(E21:E22)</f>
        <v>131077560.0802357</v>
      </c>
      <c r="F20" s="766"/>
    </row>
    <row r="21" spans="1:6" x14ac:dyDescent="0.25">
      <c r="A21" s="155">
        <v>6.1</v>
      </c>
      <c r="B21" s="126" t="s">
        <v>145</v>
      </c>
      <c r="C21" s="248">
        <f>'2. SOFP'!E20</f>
        <v>26600098.002852838</v>
      </c>
      <c r="D21" s="248"/>
      <c r="E21" s="248">
        <f>C21-D21</f>
        <v>26600098.002852838</v>
      </c>
      <c r="F21" s="766"/>
    </row>
    <row r="22" spans="1:6" x14ac:dyDescent="0.25">
      <c r="A22" s="155">
        <v>6.2</v>
      </c>
      <c r="B22" s="249" t="s">
        <v>144</v>
      </c>
      <c r="C22" s="248">
        <f>'2. SOFP'!E21</f>
        <v>104477462.07738286</v>
      </c>
      <c r="D22" s="248"/>
      <c r="E22" s="248">
        <f>C22-D22</f>
        <v>104477462.07738286</v>
      </c>
      <c r="F22" s="766"/>
    </row>
    <row r="23" spans="1:6" ht="21" x14ac:dyDescent="0.25">
      <c r="A23" s="155">
        <v>7</v>
      </c>
      <c r="B23" s="140" t="s">
        <v>143</v>
      </c>
      <c r="C23" s="248">
        <f>'2. SOFP'!E22</f>
        <v>0</v>
      </c>
      <c r="D23" s="248"/>
      <c r="E23" s="248">
        <f>C23-D23</f>
        <v>0</v>
      </c>
      <c r="F23" s="766"/>
    </row>
    <row r="24" spans="1:6" ht="21" x14ac:dyDescent="0.25">
      <c r="A24" s="155">
        <v>8</v>
      </c>
      <c r="B24" s="145" t="s">
        <v>142</v>
      </c>
      <c r="C24" s="248">
        <f>'2. SOFP'!E23</f>
        <v>3405446.1870027352</v>
      </c>
      <c r="D24" s="248"/>
      <c r="E24" s="248">
        <f>C24-D24</f>
        <v>3405446.1870027352</v>
      </c>
      <c r="F24" s="766"/>
    </row>
    <row r="25" spans="1:6" x14ac:dyDescent="0.25">
      <c r="A25" s="155">
        <v>9</v>
      </c>
      <c r="B25" s="123" t="s">
        <v>141</v>
      </c>
      <c r="C25" s="248">
        <f>SUM(C26:C27)</f>
        <v>17637849.192647908</v>
      </c>
      <c r="D25" s="248">
        <f>SUM(D26:D27)</f>
        <v>0</v>
      </c>
      <c r="E25" s="248">
        <f>SUM(E26:E27)</f>
        <v>17637849.192647908</v>
      </c>
      <c r="F25" s="766"/>
    </row>
    <row r="26" spans="1:6" x14ac:dyDescent="0.25">
      <c r="A26" s="155">
        <v>9.1</v>
      </c>
      <c r="B26" s="124" t="s">
        <v>140</v>
      </c>
      <c r="C26" s="248">
        <f>'2. SOFP'!E25</f>
        <v>17637849.192647908</v>
      </c>
      <c r="D26" s="248"/>
      <c r="E26" s="248">
        <f>C26-D26</f>
        <v>17637849.192647908</v>
      </c>
      <c r="F26" s="766"/>
    </row>
    <row r="27" spans="1:6" x14ac:dyDescent="0.25">
      <c r="A27" s="155">
        <v>9.1999999999999993</v>
      </c>
      <c r="B27" s="124" t="s">
        <v>139</v>
      </c>
      <c r="C27" s="248">
        <f>'2. SOFP'!E26</f>
        <v>0</v>
      </c>
      <c r="D27" s="248"/>
      <c r="E27" s="248">
        <f>C27-D27</f>
        <v>0</v>
      </c>
      <c r="F27" s="766"/>
    </row>
    <row r="28" spans="1:6" x14ac:dyDescent="0.25">
      <c r="A28" s="155">
        <v>10</v>
      </c>
      <c r="B28" s="123" t="s">
        <v>138</v>
      </c>
      <c r="C28" s="248">
        <f>SUM(C29:C30)</f>
        <v>1471438.6299999997</v>
      </c>
      <c r="D28" s="248">
        <f>SUM(D29:D30)</f>
        <v>1471438.6299999997</v>
      </c>
      <c r="E28" s="248">
        <f>SUM(E29:E30)</f>
        <v>0</v>
      </c>
      <c r="F28" s="766"/>
    </row>
    <row r="29" spans="1:6" x14ac:dyDescent="0.25">
      <c r="A29" s="155">
        <v>10.1</v>
      </c>
      <c r="B29" s="124" t="s">
        <v>137</v>
      </c>
      <c r="C29" s="248">
        <f>'2. SOFP'!E28</f>
        <v>0</v>
      </c>
      <c r="D29" s="248"/>
      <c r="E29" s="248">
        <f>C29-D29</f>
        <v>0</v>
      </c>
      <c r="F29" s="766"/>
    </row>
    <row r="30" spans="1:6" x14ac:dyDescent="0.25">
      <c r="A30" s="155">
        <v>10.199999999999999</v>
      </c>
      <c r="B30" s="124" t="s">
        <v>136</v>
      </c>
      <c r="C30" s="248">
        <f>'2. SOFP'!E29</f>
        <v>1471438.6299999997</v>
      </c>
      <c r="D30" s="248">
        <f>C30</f>
        <v>1471438.6299999997</v>
      </c>
      <c r="E30" s="248">
        <f>C30-D30</f>
        <v>0</v>
      </c>
      <c r="F30" s="766"/>
    </row>
    <row r="31" spans="1:6" x14ac:dyDescent="0.25">
      <c r="A31" s="155">
        <v>11</v>
      </c>
      <c r="B31" s="123" t="s">
        <v>135</v>
      </c>
      <c r="C31" s="248">
        <f>SUM(C32:C33)</f>
        <v>45248.5</v>
      </c>
      <c r="D31" s="248">
        <f>SUM(D32:D33)</f>
        <v>0</v>
      </c>
      <c r="E31" s="248">
        <f>SUM(E32:E33)</f>
        <v>45248.5</v>
      </c>
      <c r="F31" s="766"/>
    </row>
    <row r="32" spans="1:6" x14ac:dyDescent="0.25">
      <c r="A32" s="155">
        <v>11.1</v>
      </c>
      <c r="B32" s="124" t="s">
        <v>134</v>
      </c>
      <c r="C32" s="248">
        <f>'2. SOFP'!E31</f>
        <v>45248.5</v>
      </c>
      <c r="D32" s="248"/>
      <c r="E32" s="248">
        <f>C32-D32</f>
        <v>45248.5</v>
      </c>
      <c r="F32" s="766"/>
    </row>
    <row r="33" spans="1:6" x14ac:dyDescent="0.25">
      <c r="A33" s="155">
        <v>11.2</v>
      </c>
      <c r="B33" s="124" t="s">
        <v>133</v>
      </c>
      <c r="C33" s="248">
        <f>'2. SOFP'!E32</f>
        <v>0</v>
      </c>
      <c r="D33" s="248"/>
      <c r="E33" s="248">
        <f>C33-D33</f>
        <v>0</v>
      </c>
      <c r="F33" s="766"/>
    </row>
    <row r="34" spans="1:6" x14ac:dyDescent="0.25">
      <c r="A34" s="155">
        <v>13</v>
      </c>
      <c r="B34" s="123" t="s">
        <v>132</v>
      </c>
      <c r="C34" s="248">
        <f>'2. SOFP'!E33</f>
        <v>12022905.029500002</v>
      </c>
      <c r="D34" s="248"/>
      <c r="E34" s="248">
        <f>C34-D34</f>
        <v>12022905.029500002</v>
      </c>
      <c r="F34" s="766"/>
    </row>
    <row r="35" spans="1:6" x14ac:dyDescent="0.25">
      <c r="A35" s="155">
        <v>13.1</v>
      </c>
      <c r="B35" s="144" t="s">
        <v>131</v>
      </c>
      <c r="C35" s="248">
        <f>'2. SOFP'!E34</f>
        <v>0</v>
      </c>
      <c r="D35" s="248"/>
      <c r="E35" s="248">
        <f>C35-D35</f>
        <v>0</v>
      </c>
      <c r="F35" s="766"/>
    </row>
    <row r="36" spans="1:6" x14ac:dyDescent="0.25">
      <c r="A36" s="155">
        <v>13.2</v>
      </c>
      <c r="B36" s="144" t="s">
        <v>130</v>
      </c>
      <c r="C36" s="248">
        <f>'2. SOFP'!E35</f>
        <v>0</v>
      </c>
      <c r="D36" s="248"/>
      <c r="E36" s="248">
        <f>C36-D36</f>
        <v>0</v>
      </c>
      <c r="F36" s="766"/>
    </row>
    <row r="37" spans="1:6" ht="54.75" thickBot="1" x14ac:dyDescent="0.3">
      <c r="A37" s="247"/>
      <c r="B37" s="246" t="s">
        <v>291</v>
      </c>
      <c r="C37" s="245">
        <f>SUM(C8,C12,C14,C15,C16,C20,C23,C24,C25,C28,C31,C34)</f>
        <v>215398633.03895968</v>
      </c>
      <c r="D37" s="245">
        <f>SUM(D8,D12,D14,D15,D16,D20,D23,D24,D25,D28,D31,D34)</f>
        <v>1471438.6299999997</v>
      </c>
      <c r="E37" s="245">
        <f>SUM(E8,E12,E14,E15,E16,E20,E23,E24,E25,E28,E31,E34)</f>
        <v>213927194.40895969</v>
      </c>
      <c r="F37" s="766"/>
    </row>
    <row r="38" spans="1:6" x14ac:dyDescent="0.25">
      <c r="A38"/>
      <c r="B38"/>
      <c r="C38"/>
      <c r="D38"/>
      <c r="E38"/>
    </row>
    <row r="39" spans="1:6" s="1" customFormat="1" x14ac:dyDescent="0.25">
      <c r="B39" s="244"/>
      <c r="F39"/>
    </row>
    <row r="40" spans="1:6" s="1" customFormat="1" x14ac:dyDescent="0.25">
      <c r="B40" s="244"/>
      <c r="F40"/>
    </row>
    <row r="41" spans="1:6" s="1" customFormat="1" x14ac:dyDescent="0.25">
      <c r="B41" s="244"/>
      <c r="F41"/>
    </row>
    <row r="42" spans="1:6" s="1" customFormat="1" x14ac:dyDescent="0.25">
      <c r="B42" s="244"/>
      <c r="F42"/>
    </row>
    <row r="43" spans="1:6" s="1" customFormat="1" x14ac:dyDescent="0.25">
      <c r="B43" s="244"/>
      <c r="F43"/>
    </row>
    <row r="44" spans="1:6" s="1" customFormat="1" x14ac:dyDescent="0.25">
      <c r="B44" s="243"/>
      <c r="F44"/>
    </row>
    <row r="45" spans="1:6" s="1" customFormat="1" x14ac:dyDescent="0.25">
      <c r="B45" s="243"/>
      <c r="F45"/>
    </row>
    <row r="46" spans="1:6" s="1" customFormat="1" x14ac:dyDescent="0.25">
      <c r="B46" s="243"/>
      <c r="F46"/>
    </row>
    <row r="47" spans="1:6" s="1" customFormat="1" x14ac:dyDescent="0.25">
      <c r="B47" s="243"/>
      <c r="F47"/>
    </row>
    <row r="48" spans="1:6" s="1" customFormat="1" x14ac:dyDescent="0.25">
      <c r="B48" s="243"/>
      <c r="F48"/>
    </row>
    <row r="49" spans="2:6" s="1" customFormat="1" x14ac:dyDescent="0.25">
      <c r="B49" s="243"/>
      <c r="F49"/>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E495-F8A9-4374-BBD6-6F7D3ED80977}">
  <dimension ref="A1:G33"/>
  <sheetViews>
    <sheetView zoomScaleNormal="100" workbookViewId="0">
      <pane xSplit="1" ySplit="4" topLeftCell="B5" activePane="bottomRight" state="frozen"/>
      <selection activeCell="B39" sqref="B39"/>
      <selection pane="topRight" activeCell="B39" sqref="B39"/>
      <selection pane="bottomLeft" activeCell="B39" sqref="B39"/>
      <selection pane="bottomRight" activeCell="C16" sqref="C16:C17"/>
    </sheetView>
  </sheetViews>
  <sheetFormatPr defaultRowHeight="15" outlineLevelRow="1" x14ac:dyDescent="0.25"/>
  <cols>
    <col min="1" max="1" width="9.5703125" style="1" bestFit="1" customWidth="1"/>
    <col min="2" max="2" width="114.28515625" style="1" customWidth="1"/>
    <col min="3" max="3" width="18.85546875" customWidth="1"/>
    <col min="4" max="4" width="24" customWidth="1"/>
    <col min="5" max="5" width="62.140625" customWidth="1"/>
    <col min="6" max="6" width="12" bestFit="1" customWidth="1"/>
    <col min="7" max="7" width="12.5703125" bestFit="1" customWidth="1"/>
  </cols>
  <sheetData>
    <row r="1" spans="1:4" ht="15.75" x14ac:dyDescent="0.3">
      <c r="A1" s="113" t="s">
        <v>94</v>
      </c>
      <c r="B1" s="21" t="str">
        <f>Info!C2</f>
        <v>სს სილქ ბანკი</v>
      </c>
    </row>
    <row r="2" spans="1:4" s="113" customFormat="1" ht="15.75" customHeight="1" x14ac:dyDescent="0.3">
      <c r="A2" s="113" t="s">
        <v>93</v>
      </c>
      <c r="B2" s="114">
        <f>'1. key ratios'!B2</f>
        <v>45565</v>
      </c>
      <c r="C2"/>
      <c r="D2"/>
    </row>
    <row r="3" spans="1:4" s="113" customFormat="1" ht="15.75" customHeight="1" x14ac:dyDescent="0.3">
      <c r="C3"/>
      <c r="D3"/>
    </row>
    <row r="4" spans="1:4" s="113" customFormat="1" ht="40.5" customHeight="1" thickBot="1" x14ac:dyDescent="0.35">
      <c r="A4" s="113" t="s">
        <v>311</v>
      </c>
      <c r="B4" s="281" t="s">
        <v>21</v>
      </c>
      <c r="C4" s="258" t="s">
        <v>251</v>
      </c>
      <c r="D4"/>
    </row>
    <row r="5" spans="1:4" ht="27" x14ac:dyDescent="0.25">
      <c r="A5" s="280">
        <v>1</v>
      </c>
      <c r="B5" s="279" t="s">
        <v>310</v>
      </c>
      <c r="C5" s="278">
        <f>'7. LI1'!E37</f>
        <v>213927194.40895969</v>
      </c>
    </row>
    <row r="6" spans="1:4" x14ac:dyDescent="0.25">
      <c r="A6" s="274">
        <v>2.1</v>
      </c>
      <c r="B6" s="277" t="s">
        <v>309</v>
      </c>
      <c r="C6" s="272">
        <v>13406066.61039602</v>
      </c>
    </row>
    <row r="7" spans="1:4" s="233" customFormat="1" ht="27" outlineLevel="1" x14ac:dyDescent="0.25">
      <c r="A7" s="270">
        <v>2.2000000000000002</v>
      </c>
      <c r="B7" s="271" t="s">
        <v>308</v>
      </c>
      <c r="C7" s="268">
        <f>'4. Off-balance'!E32+'4. Off-balance'!E31</f>
        <v>32756400</v>
      </c>
    </row>
    <row r="8" spans="1:4" s="233" customFormat="1" ht="27" x14ac:dyDescent="0.25">
      <c r="A8" s="270">
        <v>3</v>
      </c>
      <c r="B8" s="276" t="s">
        <v>307</v>
      </c>
      <c r="C8" s="275">
        <f>SUM(C5:C7)</f>
        <v>260089661.01935571</v>
      </c>
    </row>
    <row r="9" spans="1:4" x14ac:dyDescent="0.25">
      <c r="A9" s="274">
        <v>4</v>
      </c>
      <c r="B9" s="273" t="s">
        <v>306</v>
      </c>
      <c r="C9" s="272">
        <v>0</v>
      </c>
    </row>
    <row r="10" spans="1:4" s="233" customFormat="1" ht="27" outlineLevel="1" x14ac:dyDescent="0.25">
      <c r="A10" s="270">
        <v>5.0999999999999996</v>
      </c>
      <c r="B10" s="271" t="s">
        <v>305</v>
      </c>
      <c r="C10" s="268">
        <f>-C6+'5. RWA'!C9</f>
        <v>-8691737.6103960201</v>
      </c>
    </row>
    <row r="11" spans="1:4" s="233" customFormat="1" ht="27" outlineLevel="1" x14ac:dyDescent="0.25">
      <c r="A11" s="270">
        <v>5.2</v>
      </c>
      <c r="B11" s="271" t="s">
        <v>304</v>
      </c>
      <c r="C11" s="268">
        <f>-C7+'5. RWA'!C10</f>
        <v>-32101272</v>
      </c>
    </row>
    <row r="12" spans="1:4" s="233" customFormat="1" x14ac:dyDescent="0.25">
      <c r="A12" s="270">
        <v>6</v>
      </c>
      <c r="B12" s="269" t="s">
        <v>303</v>
      </c>
      <c r="C12" s="268"/>
    </row>
    <row r="13" spans="1:4" s="233" customFormat="1" ht="15.75" thickBot="1" x14ac:dyDescent="0.3">
      <c r="A13" s="267">
        <v>7</v>
      </c>
      <c r="B13" s="266" t="s">
        <v>302</v>
      </c>
      <c r="C13" s="265">
        <f>SUM(C8:C12)</f>
        <v>219296651.40895969</v>
      </c>
    </row>
    <row r="15" spans="1:4" ht="27" x14ac:dyDescent="0.25">
      <c r="B15" s="24" t="s">
        <v>301</v>
      </c>
      <c r="C15" s="264"/>
    </row>
    <row r="17" spans="2:7" s="1" customFormat="1" x14ac:dyDescent="0.25">
      <c r="B17" s="263"/>
      <c r="C17"/>
      <c r="D17"/>
      <c r="E17"/>
      <c r="F17"/>
      <c r="G17"/>
    </row>
    <row r="18" spans="2:7" s="1" customFormat="1" x14ac:dyDescent="0.25">
      <c r="B18" s="262"/>
      <c r="C18"/>
      <c r="D18"/>
      <c r="E18"/>
      <c r="F18"/>
      <c r="G18"/>
    </row>
    <row r="19" spans="2:7" s="1" customFormat="1" x14ac:dyDescent="0.25">
      <c r="B19" s="262"/>
      <c r="C19"/>
      <c r="D19"/>
      <c r="E19"/>
      <c r="F19"/>
      <c r="G19"/>
    </row>
    <row r="20" spans="2:7" s="1" customFormat="1" x14ac:dyDescent="0.25">
      <c r="B20" s="243"/>
      <c r="C20"/>
      <c r="D20"/>
      <c r="E20"/>
      <c r="F20"/>
      <c r="G20"/>
    </row>
    <row r="21" spans="2:7" s="1" customFormat="1" x14ac:dyDescent="0.25">
      <c r="B21" s="244"/>
      <c r="C21"/>
      <c r="D21"/>
      <c r="E21"/>
      <c r="F21"/>
      <c r="G21"/>
    </row>
    <row r="22" spans="2:7" s="1" customFormat="1" x14ac:dyDescent="0.25">
      <c r="B22" s="196"/>
      <c r="C22"/>
      <c r="D22"/>
      <c r="E22"/>
      <c r="F22"/>
      <c r="G22"/>
    </row>
    <row r="23" spans="2:7" s="1" customFormat="1" x14ac:dyDescent="0.25">
      <c r="B23" s="244"/>
      <c r="C23"/>
      <c r="D23"/>
      <c r="E23"/>
      <c r="F23"/>
      <c r="G23"/>
    </row>
    <row r="24" spans="2:7" s="1" customFormat="1" x14ac:dyDescent="0.25">
      <c r="B24" s="244"/>
      <c r="C24"/>
      <c r="D24"/>
      <c r="E24"/>
      <c r="F24"/>
      <c r="G24"/>
    </row>
    <row r="25" spans="2:7" s="1" customFormat="1" x14ac:dyDescent="0.25">
      <c r="B25" s="244"/>
      <c r="C25"/>
      <c r="D25"/>
      <c r="E25"/>
      <c r="F25"/>
      <c r="G25"/>
    </row>
    <row r="26" spans="2:7" s="1" customFormat="1" x14ac:dyDescent="0.25">
      <c r="B26" s="244"/>
      <c r="C26"/>
      <c r="D26"/>
      <c r="E26"/>
      <c r="F26"/>
      <c r="G26"/>
    </row>
    <row r="27" spans="2:7" s="1" customFormat="1" x14ac:dyDescent="0.25">
      <c r="B27" s="244"/>
      <c r="C27"/>
      <c r="D27"/>
      <c r="E27"/>
      <c r="F27"/>
      <c r="G27"/>
    </row>
    <row r="28" spans="2:7" s="1" customFormat="1" x14ac:dyDescent="0.25">
      <c r="B28" s="243"/>
      <c r="C28"/>
      <c r="D28"/>
      <c r="E28"/>
      <c r="F28"/>
      <c r="G28"/>
    </row>
    <row r="29" spans="2:7" s="1" customFormat="1" x14ac:dyDescent="0.25">
      <c r="B29" s="243"/>
      <c r="C29"/>
      <c r="D29"/>
      <c r="E29"/>
      <c r="F29"/>
      <c r="G29"/>
    </row>
    <row r="30" spans="2:7" s="1" customFormat="1" x14ac:dyDescent="0.25">
      <c r="B30" s="243"/>
      <c r="C30"/>
      <c r="D30"/>
      <c r="E30"/>
      <c r="F30"/>
      <c r="G30"/>
    </row>
    <row r="31" spans="2:7" s="1" customFormat="1" x14ac:dyDescent="0.25">
      <c r="B31" s="243"/>
      <c r="C31"/>
      <c r="D31"/>
      <c r="E31"/>
      <c r="F31"/>
      <c r="G31"/>
    </row>
    <row r="32" spans="2:7" s="1" customFormat="1" x14ac:dyDescent="0.25">
      <c r="B32" s="243"/>
      <c r="C32"/>
      <c r="D32"/>
      <c r="E32"/>
      <c r="F32"/>
      <c r="G32"/>
    </row>
    <row r="33" spans="2:7" s="1" customFormat="1" x14ac:dyDescent="0.25">
      <c r="B33" s="243"/>
      <c r="C33"/>
      <c r="D33"/>
      <c r="E33"/>
      <c r="F33"/>
      <c r="G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2024-10-29T13:39:03Z</dcterms:created>
  <dcterms:modified xsi:type="dcterms:W3CDTF">2024-11-08T11:51:31Z</dcterms:modified>
</cp:coreProperties>
</file>